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855" windowWidth="15600" windowHeight="669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F13" i="7" l="1"/>
  <c r="H13" i="7"/>
  <c r="I13" i="7"/>
  <c r="Q13" i="7" s="1"/>
  <c r="J13" i="7"/>
  <c r="K13" i="7"/>
  <c r="L13" i="7"/>
  <c r="M13" i="7"/>
  <c r="N13" i="7"/>
  <c r="O13" i="7"/>
  <c r="P13" i="7"/>
  <c r="R13" i="7"/>
  <c r="S13" i="7"/>
  <c r="T13" i="7"/>
  <c r="U13" i="7"/>
  <c r="V13" i="7"/>
  <c r="W13" i="7"/>
  <c r="F14" i="7"/>
  <c r="H14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F15" i="7"/>
  <c r="H15" i="7"/>
  <c r="I15" i="7"/>
  <c r="J15" i="7"/>
  <c r="K15" i="7"/>
  <c r="L15" i="7"/>
  <c r="M15" i="7"/>
  <c r="N15" i="7"/>
  <c r="O15" i="7"/>
  <c r="Q15" i="7" s="1"/>
  <c r="P15" i="7"/>
  <c r="R15" i="7"/>
  <c r="S15" i="7"/>
  <c r="X15" i="7" s="1"/>
  <c r="T15" i="7"/>
  <c r="U15" i="7"/>
  <c r="V15" i="7"/>
  <c r="W15" i="7"/>
  <c r="F16" i="7"/>
  <c r="H16" i="7"/>
  <c r="I16" i="7"/>
  <c r="J16" i="7"/>
  <c r="K16" i="7"/>
  <c r="L16" i="7"/>
  <c r="M16" i="7"/>
  <c r="N16" i="7"/>
  <c r="O16" i="7"/>
  <c r="P16" i="7"/>
  <c r="R16" i="7"/>
  <c r="X16" i="7" s="1"/>
  <c r="S16" i="7"/>
  <c r="T16" i="7"/>
  <c r="U16" i="7"/>
  <c r="V16" i="7"/>
  <c r="W16" i="7"/>
  <c r="F17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F18" i="7"/>
  <c r="H18" i="7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F19" i="7"/>
  <c r="H19" i="7"/>
  <c r="I19" i="7"/>
  <c r="J19" i="7"/>
  <c r="K19" i="7"/>
  <c r="L19" i="7"/>
  <c r="M19" i="7"/>
  <c r="Q19" i="7" s="1"/>
  <c r="N19" i="7"/>
  <c r="O19" i="7"/>
  <c r="P19" i="7"/>
  <c r="R19" i="7"/>
  <c r="S19" i="7"/>
  <c r="T19" i="7"/>
  <c r="U19" i="7"/>
  <c r="V19" i="7"/>
  <c r="W19" i="7"/>
  <c r="F20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F21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Q21" i="7" l="1"/>
  <c r="X21" i="7"/>
  <c r="X20" i="7"/>
  <c r="Q20" i="7"/>
  <c r="X19" i="7"/>
  <c r="X18" i="7"/>
  <c r="Q18" i="7"/>
  <c r="X17" i="7"/>
  <c r="Q17" i="7"/>
  <c r="Q16" i="7"/>
  <c r="X14" i="7"/>
  <c r="Q14" i="7"/>
  <c r="X13" i="7"/>
  <c r="P12" i="7"/>
  <c r="O12" i="7"/>
  <c r="N12" i="7"/>
  <c r="M12" i="7"/>
  <c r="L12" i="7"/>
  <c r="K12" i="7"/>
  <c r="J12" i="7"/>
  <c r="I12" i="7"/>
  <c r="H12" i="7"/>
  <c r="F12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H31" i="18" s="1"/>
  <c r="E63" i="18"/>
  <c r="G63" i="18"/>
  <c r="J63" i="18"/>
  <c r="M63" i="18"/>
  <c r="I53" i="18"/>
  <c r="N53" i="18"/>
  <c r="E53" i="18"/>
  <c r="J53" i="18"/>
  <c r="F63" i="18"/>
  <c r="K63" i="18"/>
  <c r="D22" i="18"/>
  <c r="F21" i="18" s="1"/>
  <c r="G53" i="18"/>
  <c r="M53" i="18"/>
  <c r="I63" i="18"/>
  <c r="N63" i="18"/>
  <c r="N21" i="18"/>
  <c r="J21" i="18"/>
  <c r="M21" i="18"/>
  <c r="I21" i="18"/>
  <c r="L21" i="18"/>
  <c r="K21" i="18"/>
  <c r="G21" i="18"/>
  <c r="L31" i="18"/>
  <c r="G31" i="18"/>
  <c r="N31" i="18"/>
  <c r="M31" i="18"/>
  <c r="I31" i="18"/>
  <c r="H53" i="18"/>
  <c r="H63" i="18"/>
  <c r="D24" i="15"/>
  <c r="C23" i="15"/>
  <c r="D56" i="18" l="1"/>
  <c r="J55" i="18" s="1"/>
  <c r="F31" i="18"/>
  <c r="K31" i="18"/>
  <c r="E31" i="18" s="1"/>
  <c r="J31" i="18"/>
  <c r="H21" i="18"/>
  <c r="E21" i="18" s="1"/>
  <c r="D66" i="18"/>
  <c r="K65" i="18" s="1"/>
  <c r="K55" i="18"/>
  <c r="G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M65" i="18" l="1"/>
  <c r="L55" i="18"/>
  <c r="E55" i="18" s="1"/>
  <c r="L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G56" i="17"/>
  <c r="H56" i="17"/>
  <c r="W11" i="7"/>
  <c r="V11" i="7"/>
  <c r="U11" i="7"/>
  <c r="T11" i="7"/>
  <c r="S11" i="7"/>
  <c r="R11" i="7"/>
  <c r="S12" i="7"/>
  <c r="T12" i="7"/>
  <c r="U12" i="7"/>
  <c r="V12" i="7"/>
  <c r="W12" i="7"/>
  <c r="R12" i="7"/>
  <c r="E65" i="18" l="1"/>
  <c r="X12" i="7"/>
  <c r="X11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1" i="7" l="1"/>
  <c r="Q12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<sst xmlns="http://schemas.openxmlformats.org/spreadsheetml/2006/main" count="1366" uniqueCount="676">
  <si>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</si>
  <si>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</si>
  <si>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</si>
  <si>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</si>
  <si>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</si>
  <si>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</si>
  <si>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</si>
  <si>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</si>
  <si>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</si>
  <si>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</si>
  <si>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</si>
  <si>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</si>
  <si>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</si>
  <si>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</si>
  <si>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</si>
  <si>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</si>
  <si>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</si>
  <si>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</si>
  <si>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</si>
  <si>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</si>
  <si>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</si>
  <si>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</si>
  <si>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</si>
  <si>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</si>
  <si>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</si>
  <si>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</si>
  <si>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</si>
  <si>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</si>
  <si>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</si>
  <si>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</si>
  <si>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</si>
  <si>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</si>
  <si>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</si>
  <si>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</si>
  <si>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</si>
  <si>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</si>
  <si>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</si>
  <si>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</si>
  <si>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</si>
  <si>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</si>
  <si>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</si>
  <si>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</si>
  <si>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</si>
  <si>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</si>
  <si>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</si>
  <si>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</si>
  <si>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</si>
  <si>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</si>
  <si>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</si>
  <si>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</si>
  <si>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</si>
  <si>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</si>
  <si>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</si>
  <si>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</si>
  <si>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</si>
  <si>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</si>
  <si>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</si>
  <si>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</si>
  <si>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</si>
  <si>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</si>
  <si>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</si>
  <si>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</si>
  <si>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</si>
  <si>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</si>
  <si>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</si>
  <si>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</si>
  <si>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</si>
  <si>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</si>
  <si>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</si>
  <si>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</si>
  <si>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</si>
  <si>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</si>
  <si>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</si>
  <si>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</si>
  <si>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</si>
  <si>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</si>
  <si>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</si>
  <si>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</si>
  <si>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</si>
  <si>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</si>
  <si>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</si>
  <si>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</si>
  <si>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</si>
  <si>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</si>
  <si>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</si>
  <si>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</si>
  <si>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</si>
  <si>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</si>
  <si>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</si>
  <si>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</si>
  <si>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</si>
  <si>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</si>
  <si>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</si>
  <si>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</si>
  <si>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</si>
  <si>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</si>
  <si>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</si>
  <si>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</si>
  <si>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</si>
  <si>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</si>
  <si>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</si>
  <si>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</si>
  <si>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</si>
  <si>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</si>
  <si>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</si>
  <si>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</si>
  <si>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</si>
  <si>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</si>
  <si>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</si>
  <si>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</si>
  <si>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</si>
  <si>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</si>
  <si>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</si>
  <si>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</si>
  <si>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</si>
  <si>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</si>
  <si>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</si>
  <si>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</si>
  <si>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</si>
  <si>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</si>
  <si>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</si>
  <si>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</si>
  <si>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</si>
  <si>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</si>
  <si>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</si>
  <si>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</si>
  <si>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</si>
  <si>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</si>
  <si>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</si>
  <si>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</si>
  <si>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</si>
  <si>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</si>
  <si>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</si>
  <si>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</si>
  <si>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</si>
  <si>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</si>
  <si>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</si>
  <si>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</si>
  <si>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</si>
  <si>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</si>
  <si>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</si>
  <si>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</si>
  <si>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</si>
  <si>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</si>
  <si>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</si>
  <si>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</si>
  <si>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</si>
  <si>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</si>
  <si>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</si>
  <si>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</si>
  <si>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</si>
  <si>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</si>
  <si>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</si>
  <si>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</si>
  <si>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</si>
  <si>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</si>
  <si>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</si>
  <si>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</si>
  <si>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</si>
  <si>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</si>
  <si>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</si>
  <si>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</si>
  <si>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</si>
  <si>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</si>
  <si>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</si>
  <si>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</si>
  <si>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</si>
  <si>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</si>
  <si>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</si>
  <si>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</si>
  <si>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</si>
  <si>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</si>
  <si>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</si>
  <si>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</si>
  <si>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</si>
  <si>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</si>
  <si>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</si>
  <si>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</si>
  <si>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</si>
  <si>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</si>
  <si>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</si>
  <si>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</si>
  <si>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</si>
  <si>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</si>
  <si>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</si>
  <si>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</si>
  <si>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</si>
  <si>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</si>
  <si>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</si>
  <si>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</si>
  <si>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</si>
  <si>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</si>
  <si>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</si>
  <si>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</si>
  <si>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</si>
  <si>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</si>
  <si>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</si>
  <si>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</si>
  <si>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</si>
  <si>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</si>
  <si>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</si>
  <si>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</si>
  <si>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</si>
  <si>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</si>
  <si>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</si>
  <si>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</si>
  <si>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</si>
  <si>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</si>
  <si>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</si>
  <si>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</si>
  <si>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</si>
  <si>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</si>
  <si>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</si>
  <si>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</si>
  <si>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</si>
  <si>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</si>
  <si>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</si>
  <si>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</si>
  <si>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</si>
  <si>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</si>
  <si>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</si>
  <si>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</si>
  <si>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</si>
  <si>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</si>
  <si>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</si>
  <si>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</si>
  <si>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</si>
  <si>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</si>
  <si>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</si>
  <si>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</si>
  <si>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</si>
  <si>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</si>
  <si>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</si>
  <si>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</si>
  <si>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</si>
  <si>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</si>
  <si>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</si>
  <si>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</si>
  <si>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</si>
  <si>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</si>
  <si>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</si>
  <si>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</si>
  <si>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</si>
  <si>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</si>
  <si>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</si>
  <si>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</si>
  <si>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</si>
  <si>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</si>
  <si>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</si>
  <si>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</si>
  <si>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</si>
  <si>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</si>
  <si>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</si>
  <si>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</si>
  <si>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</si>
  <si>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</si>
  <si>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</si>
  <si>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</si>
  <si>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</si>
  <si>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</si>
  <si>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</si>
  <si>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</si>
  <si>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</si>
  <si>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</si>
  <si>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</si>
  <si>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</si>
  <si>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</si>
  <si>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</si>
  <si>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</si>
  <si>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</si>
  <si>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</si>
  <si>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</si>
  <si>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</si>
  <si>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</si>
  <si>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</si>
  <si>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</si>
  <si>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</si>
  <si>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</si>
  <si>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</si>
  <si>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</si>
  <si>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</si>
  <si>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</si>
  <si>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</si>
  <si>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</si>
  <si>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</si>
  <si>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</si>
  <si>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</si>
  <si>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</si>
  <si>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</si>
  <si>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</si>
  <si>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</si>
  <si>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</si>
  <si>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</si>
  <si>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</si>
  <si>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</si>
  <si>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</si>
  <si>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</si>
  <si>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</si>
  <si>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</si>
  <si>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</si>
  <si>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</si>
  <si>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</si>
  <si>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</si>
  <si>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</si>
  <si>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</si>
  <si>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</si>
  <si>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</si>
  <si>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</si>
  <si>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</si>
  <si>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</si>
  <si>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</si>
  <si>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</si>
  <si>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</si>
  <si>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</si>
  <si>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</si>
  <si>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</si>
  <si>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</si>
  <si>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</si>
  <si>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</si>
  <si>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</si>
  <si>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</si>
  <si>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</si>
  <si>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</si>
  <si>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</si>
  <si>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</si>
  <si>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</si>
  <si>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</si>
  <si>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</si>
  <si>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</si>
  <si>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</si>
  <si>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</si>
  <si>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</si>
  <si>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</si>
  <si>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</si>
  <si>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</si>
  <si>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</si>
  <si>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</si>
  <si>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</si>
  <si>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</si>
  <si>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</si>
  <si>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</si>
  <si>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</si>
  <si>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</si>
  <si>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</si>
  <si>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</si>
  <si>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</si>
  <si>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</si>
  <si>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</si>
  <si>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</si>
  <si>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</si>
  <si>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</si>
  <si>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</si>
  <si>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</si>
  <si>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</si>
  <si>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</si>
  <si>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</si>
  <si>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</si>
  <si>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</si>
  <si>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</si>
  <si>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</si>
  <si>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</si>
  <si>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</si>
  <si>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</si>
  <si>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</si>
  <si>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</si>
  <si>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</si>
  <si>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</si>
  <si>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</si>
  <si>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</si>
  <si>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</si>
  <si>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</si>
  <si>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</si>
  <si>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</si>
  <si>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</si>
  <si>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</si>
  <si>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</si>
  <si>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</si>
  <si>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</si>
  <si>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</si>
  <si>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</si>
  <si>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</si>
  <si>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</si>
  <si>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</si>
  <si>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</si>
  <si>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</si>
  <si>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</si>
  <si>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</si>
  <si>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</si>
  <si>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</si>
  <si>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</si>
  <si>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</si>
  <si>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</si>
  <si>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</si>
  <si>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</si>
  <si>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</si>
  <si>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</si>
  <si>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</si>
  <si>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</si>
  <si>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</si>
  <si>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</si>
  <si>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</si>
  <si>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</si>
  <si>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</si>
  <si>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</si>
  <si>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</si>
  <si>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</si>
  <si>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</si>
  <si>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</si>
  <si>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</si>
  <si>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</si>
  <si>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</si>
  <si>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</si>
  <si>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</si>
  <si>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</si>
  <si>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</si>
  <si>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</si>
  <si>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</si>
  <si>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</si>
  <si>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</si>
  <si>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</si>
  <si>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</si>
  <si>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</si>
  <si>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</si>
  <si>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</si>
  <si>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</si>
  <si>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</si>
  <si>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</si>
  <si>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</si>
  <si>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</si>
  <si>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</si>
  <si>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</si>
  <si>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</si>
  <si>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</si>
  <si>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</si>
  <si>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</si>
  <si>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</si>
  <si>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</si>
  <si>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</si>
  <si>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</si>
  <si>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</si>
  <si>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</si>
  <si>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</si>
  <si>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</si>
  <si>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</si>
  <si>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</si>
  <si>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</si>
  <si>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</si>
  <si>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</si>
  <si>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</si>
  <si>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</si>
  <si>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</si>
  <si>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</si>
  <si>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</si>
  <si>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</si>
  <si>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</si>
  <si>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</si>
  <si>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</si>
  <si>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</si>
  <si>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</si>
  <si>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</si>
  <si>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</si>
  <si>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</si>
  <si>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</si>
  <si>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</si>
  <si>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</si>
  <si>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</si>
  <si>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</si>
  <si>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</si>
  <si>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</si>
  <si>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</si>
  <si>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</si>
  <si>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</si>
  <si>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</si>
  <si>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</si>
  <si>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</si>
  <si>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</si>
  <si>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</si>
  <si>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</si>
  <si>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</si>
  <si>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</si>
  <si>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</si>
  <si>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</si>
  <si>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</si>
  <si>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</si>
  <si>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</si>
  <si>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</si>
  <si>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</si>
  <si>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</si>
  <si>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</si>
  <si>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</si>
  <si>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</si>
  <si>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</si>
  <si>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</si>
  <si>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</si>
  <si>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</si>
  <si>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</si>
  <si>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</si>
  <si>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</si>
  <si>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</si>
  <si>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</si>
  <si>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</si>
  <si>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</si>
  <si>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</si>
  <si>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</si>
  <si>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</si>
  <si>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</si>
  <si>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</si>
  <si>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</si>
  <si>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</si>
  <si>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</si>
  <si>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</si>
  <si>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</si>
  <si>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</si>
  <si>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</si>
  <si>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</si>
  <si>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</si>
  <si>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</si>
  <si>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</si>
  <si>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</si>
  <si>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</si>
  <si>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</si>
  <si>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</si>
  <si>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</si>
  <si>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</si>
  <si>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</si>
  <si>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</si>
  <si>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</si>
  <si>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</si>
  <si>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</si>
  <si>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</si>
  <si>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</si>
  <si>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</si>
  <si>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</si>
  <si>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</si>
  <si>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</si>
  <si>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</si>
  <si>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</si>
  <si>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</si>
  <si>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</si>
  <si>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</si>
  <si>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</si>
  <si>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</si>
  <si>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</si>
  <si>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</si>
  <si>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</si>
  <si>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</si>
  <si>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</si>
  <si>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</si>
  <si>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</si>
  <si>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</si>
  <si>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</si>
  <si>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</si>
  <si>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</si>
  <si>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</si>
  <si>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</si>
  <si>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</si>
  <si>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</si>
  <si>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</si>
  <si>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</si>
  <si>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</si>
  <si>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</si>
  <si>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</si>
  <si>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</si>
  <si>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</si>
  <si>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</si>
  <si>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</si>
  <si>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</si>
  <si>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</si>
  <si>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</si>
  <si>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</si>
  <si>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</si>
  <si>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</si>
  <si>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</si>
  <si>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</si>
  <si>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</si>
  <si>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</si>
  <si>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</si>
  <si>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</si>
  <si>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</si>
  <si>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</si>
  <si>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</si>
  <si>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</si>
  <si>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</si>
  <si>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</si>
  <si>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</si>
  <si>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</si>
  <si>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</si>
  <si>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</si>
  <si>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</si>
  <si>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</si>
  <si>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</si>
  <si>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</si>
  <si>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</si>
  <si>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</si>
  <si>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</si>
  <si>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</si>
  <si>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</si>
  <si>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</si>
  <si>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</si>
  <si>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</si>
  <si>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</si>
  <si>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</si>
  <si>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</si>
  <si>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</si>
  <si>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</si>
  <si>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</si>
  <si>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</si>
  <si>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</si>
  <si>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</si>
  <si>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</si>
  <si>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</si>
  <si>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</si>
  <si>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</si>
  <si>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</si>
  <si>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</si>
  <si>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</si>
  <si>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</si>
  <si>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</si>
  <si>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</si>
  <si>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</si>
  <si>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</si>
  <si>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</si>
  <si>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</si>
  <si>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</si>
  <si>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</si>
  <si>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</si>
  <si>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</si>
  <si>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</si>
  <si>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</si>
  <si>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</si>
  <si>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</si>
  <si>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</si>
  <si>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</si>
  <si>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</si>
  <si>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</si>
  <si>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</si>
  <si>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</si>
  <si>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</si>
  <si>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</si>
  <si>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</si>
  <si>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</si>
  <si>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</si>
  <si>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</si>
  <si>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</si>
  <si>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</si>
  <si>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</si>
  <si>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</si>
  <si>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</si>
  <si>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</si>
  <si>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</si>
  <si>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</si>
  <si>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</si>
  <si>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</si>
  <si>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</si>
  <si>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</si>
  <si>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</si>
  <si>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</si>
  <si>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Vereinigte Stadtwerke Netz GmbH</t>
  </si>
  <si>
    <t>9870030300006</t>
  </si>
  <si>
    <t>Schweriner Straße 90</t>
  </si>
  <si>
    <t>Ratzeburg</t>
  </si>
  <si>
    <t>Max Gerweck, Simon Klahr</t>
  </si>
  <si>
    <t>04541-807-505 / 04541-807-802</t>
  </si>
  <si>
    <t>GASPOOLNH7003031</t>
  </si>
  <si>
    <t>Hamburg-Fuhlsbüttel</t>
  </si>
  <si>
    <t>HH-Fuhlsbüttel</t>
  </si>
  <si>
    <t>edm@vsg-netz.de</t>
  </si>
  <si>
    <t>DE_HEF33</t>
  </si>
  <si>
    <t>DE_HMF33</t>
  </si>
  <si>
    <t>DE_GHD33</t>
  </si>
  <si>
    <t>DE_GKO33</t>
  </si>
  <si>
    <t>DE_GMK33</t>
  </si>
  <si>
    <t>DE_GBH33</t>
  </si>
  <si>
    <t>DE_GBA33</t>
  </si>
  <si>
    <t>DE_GGA33</t>
  </si>
  <si>
    <t>DE_GMF33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</si>
</sst>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00000000"/>
    <numFmt numFmtId="167" formatCode="0.000"/>
    <numFmt numFmtId="168" formatCode="0.0%"/>
    <numFmt numFmtId="169" formatCode="#,##0.000"/>
    <numFmt numFmtId="170" formatCode="0.0"/>
    <numFmt numFmtId="171" formatCode="0.000\ \ "/>
    <numFmt numFmtId="172" formatCode="0.0000\ \ "/>
    <numFmt numFmtId="173" formatCode="General&quot;.&quot;"/>
    <numFmt numFmtId="174" formatCode="_-* #,##0.00\ [$€]_-;\-* #,##0.00\ [$€]_-;_-* &quot;-&quot;??\ [$€]_-;_-@_-"/>
    <numFmt numFmtId="175" formatCode="#,#00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3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175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5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6" fontId="80" fillId="34" borderId="24" xfId="3" applyNumberFormat="1" applyFont="1" applyFill="1" applyBorder="1" applyAlignment="1" applyProtection="1">
      <alignment horizontal="center" vertical="center"/>
    </xf>
    <xf numFmtId="166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9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9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9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9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6" fontId="8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2" fontId="7" fillId="0" borderId="17" xfId="3" applyNumberFormat="1" applyFont="1" applyBorder="1" applyAlignment="1" applyProtection="1">
      <alignment vertical="center"/>
    </xf>
    <xf numFmtId="172" fontId="7" fillId="0" borderId="17" xfId="3" applyNumberFormat="1" applyFont="1" applyBorder="1" applyAlignment="1" applyProtection="1">
      <alignment horizontal="center" vertical="center"/>
    </xf>
    <xf numFmtId="171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2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7" fontId="0" fillId="71" borderId="0" xfId="0" applyNumberFormat="1" applyFont="1" applyFill="1" applyBorder="1" applyAlignment="1" applyProtection="1">
      <alignment horizontal="center" vertical="center"/>
      <protection locked="0"/>
    </xf>
    <xf numFmtId="167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9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9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9" fontId="0" fillId="74" borderId="54" xfId="0" applyNumberFormat="1" applyFont="1" applyFill="1" applyBorder="1" applyAlignment="1" applyProtection="1">
      <alignment horizontal="center" vertical="center"/>
    </xf>
    <xf numFmtId="169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4" fontId="0" fillId="72" borderId="78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70" fontId="0" fillId="71" borderId="79" xfId="0" applyNumberFormat="1" applyFont="1" applyFill="1" applyBorder="1" applyAlignment="1" applyProtection="1">
      <alignment horizontal="center" vertical="center"/>
      <protection locked="0"/>
    </xf>
    <xf numFmtId="193" fontId="0" fillId="71" borderId="73" xfId="0" applyNumberFormat="1" applyFont="1" applyFill="1" applyBorder="1" applyAlignment="1" applyProtection="1">
      <alignment horizontal="center" vertical="center"/>
      <protection locked="0"/>
    </xf>
    <xf numFmtId="184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468</v>
      </c>
    </row>
    <row r="3" spans="2:7"/>
    <row r="4" spans="2:7">
      <c r="B4" s="8" t="s">
        <v>463</v>
      </c>
    </row>
    <row r="5" spans="2:7">
      <c r="B5" s="8" t="s">
        <v>464</v>
      </c>
    </row>
    <row r="6" spans="2:7"/>
    <row r="7" spans="2:7">
      <c r="B7" t="s">
        <v>339</v>
      </c>
    </row>
    <row r="8" spans="2:7" s="8" customFormat="1">
      <c r="B8" s="8" t="s">
        <v>465</v>
      </c>
    </row>
    <row r="9" spans="2:7" s="8" customFormat="1"/>
    <row r="10" spans="2:7" s="8" customFormat="1">
      <c r="B10" s="14" t="s">
        <v>450</v>
      </c>
    </row>
    <row r="11" spans="2:7" s="8" customFormat="1">
      <c r="B11" s="8" t="s">
        <v>501</v>
      </c>
    </row>
    <row r="12" spans="2:7" s="8" customFormat="1">
      <c r="B12" s="8" t="s">
        <v>502</v>
      </c>
    </row>
    <row r="13" spans="2:7" s="8" customFormat="1">
      <c r="B13" s="8" t="s">
        <v>508</v>
      </c>
    </row>
    <row r="14" spans="2:7" s="8" customFormat="1"/>
    <row r="15" spans="2:7">
      <c r="B15" s="20" t="s">
        <v>467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466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8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7" zoomScale="80" zoomScaleNormal="80" workbookViewId="0">
      <selection activeCell="E8" sqref="E8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656</v>
      </c>
      <c r="D4" s="27">
        <v>42692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655</v>
      </c>
      <c r="D6" s="27">
        <v>42736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488</v>
      </c>
      <c r="D11" s="332" t="s">
        <v>658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23909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661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666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662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489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462</v>
      </c>
      <c r="D27" s="42" t="s">
        <v>397</v>
      </c>
      <c r="E27" s="39"/>
      <c r="F27" s="11"/>
    </row>
    <row r="28" spans="1:15">
      <c r="B28" s="15"/>
      <c r="C28" s="65" t="s">
        <v>504</v>
      </c>
      <c r="D28" s="48">
        <f>IF(D27&lt;&gt;C28,VLOOKUP(D27,$C$29:$D$48,2,FALSE),C28)</f>
        <v>700303</v>
      </c>
      <c r="E28" s="38"/>
      <c r="F28" s="11"/>
      <c r="G28" s="2"/>
    </row>
    <row r="29" spans="1:15">
      <c r="B29" s="15"/>
      <c r="C29" s="22" t="s">
        <v>397</v>
      </c>
      <c r="D29" s="45">
        <v>700303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434</v>
      </c>
      <c r="D38" s="46"/>
      <c r="E38" s="40"/>
      <c r="F38" s="47"/>
      <c r="G38" s="2"/>
    </row>
    <row r="39" spans="2:7">
      <c r="B39" s="15"/>
      <c r="C39" s="22" t="s">
        <v>435</v>
      </c>
      <c r="D39" s="46"/>
      <c r="E39" s="40"/>
      <c r="F39" s="47"/>
      <c r="G39" s="2"/>
    </row>
    <row r="40" spans="2:7">
      <c r="B40" s="15"/>
      <c r="C40" s="22" t="s">
        <v>436</v>
      </c>
      <c r="D40" s="46"/>
      <c r="E40" s="40"/>
      <c r="F40" s="47"/>
      <c r="G40" s="2"/>
    </row>
    <row r="41" spans="2:7">
      <c r="B41" s="15"/>
      <c r="C41" s="22" t="s">
        <v>437</v>
      </c>
      <c r="D41" s="46"/>
      <c r="E41" s="40"/>
      <c r="F41" s="47"/>
      <c r="G41" s="2"/>
    </row>
    <row r="42" spans="2:7">
      <c r="B42" s="15"/>
      <c r="C42" s="22" t="s">
        <v>438</v>
      </c>
      <c r="D42" s="46"/>
      <c r="E42" s="40"/>
      <c r="F42" s="47"/>
      <c r="G42" s="2"/>
    </row>
    <row r="43" spans="2:7">
      <c r="B43" s="15"/>
      <c r="C43" s="22" t="s">
        <v>439</v>
      </c>
      <c r="D43" s="46"/>
      <c r="E43" s="40"/>
      <c r="F43" s="47"/>
      <c r="G43" s="2"/>
    </row>
    <row r="44" spans="2:7">
      <c r="B44" s="15"/>
      <c r="C44" s="22" t="s">
        <v>440</v>
      </c>
      <c r="D44" s="46"/>
      <c r="E44" s="40"/>
      <c r="F44" s="47"/>
      <c r="G44" s="2"/>
    </row>
    <row r="45" spans="2:7">
      <c r="B45" s="15"/>
      <c r="C45" s="22" t="s">
        <v>441</v>
      </c>
      <c r="D45" s="46"/>
      <c r="E45" s="40"/>
      <c r="F45" s="47"/>
      <c r="G45" s="2"/>
    </row>
    <row r="46" spans="2:7">
      <c r="B46" s="15"/>
      <c r="C46" s="22" t="s">
        <v>442</v>
      </c>
      <c r="D46" s="46"/>
      <c r="E46" s="40"/>
      <c r="F46" s="47"/>
    </row>
    <row r="47" spans="2:7">
      <c r="B47" s="15"/>
      <c r="C47" s="22" t="s">
        <v>443</v>
      </c>
      <c r="D47" s="46"/>
      <c r="E47" s="40"/>
      <c r="F47" s="47"/>
    </row>
    <row r="48" spans="2:7">
      <c r="B48" s="15"/>
      <c r="C48" s="22" t="s">
        <v>444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22" zoomScale="80" zoomScaleNormal="80" workbookViewId="0">
      <selection activeCell="D8" sqref="D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448</v>
      </c>
      <c r="D5" s="58" t="str">
        <f>Netzbetreiber!$D$9</f>
        <v>Vereinigte Stadtwerke Netz GmbH</v>
      </c>
      <c r="H5" s="67"/>
      <c r="I5" s="67"/>
      <c r="J5" s="67"/>
      <c r="K5" s="67"/>
    </row>
    <row r="6" spans="2:15" ht="15" customHeight="1">
      <c r="B6" s="22"/>
      <c r="C6" s="61" t="s">
        <v>447</v>
      </c>
      <c r="D6" s="58">
        <f>Netzbetreiber!D28</f>
        <v>700303</v>
      </c>
      <c r="E6" s="15"/>
      <c r="H6" s="67"/>
      <c r="I6" s="67"/>
      <c r="J6" s="67"/>
      <c r="K6" s="67"/>
    </row>
    <row r="7" spans="2:15" ht="15" customHeight="1">
      <c r="B7" s="22"/>
      <c r="C7" s="60" t="s">
        <v>490</v>
      </c>
      <c r="D7" s="329" t="str">
        <f>Netzbetreiber!$D$11</f>
        <v>9870030300006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42736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2" t="s">
        <v>256</v>
      </c>
      <c r="I11" s="272" t="s">
        <v>259</v>
      </c>
      <c r="J11" s="272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617</v>
      </c>
      <c r="D13" s="33" t="s">
        <v>618</v>
      </c>
      <c r="E13" s="15"/>
      <c r="H13" s="272" t="s">
        <v>618</v>
      </c>
      <c r="I13" s="272" t="s">
        <v>619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433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432</v>
      </c>
      <c r="D16" s="42" t="s">
        <v>663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84</v>
      </c>
      <c r="C18" s="31" t="s">
        <v>370</v>
      </c>
      <c r="D18" s="49" t="s">
        <v>257</v>
      </c>
      <c r="E18" s="15"/>
      <c r="H18" s="270" t="s">
        <v>257</v>
      </c>
      <c r="I18" s="270" t="s">
        <v>135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1" t="s">
        <v>577</v>
      </c>
      <c r="I19" s="271" t="s">
        <v>491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1" t="s">
        <v>492</v>
      </c>
      <c r="I20" s="271" t="s">
        <v>493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85</v>
      </c>
      <c r="C22" s="8" t="s">
        <v>615</v>
      </c>
      <c r="D22" s="49" t="s">
        <v>611</v>
      </c>
      <c r="E22" s="15"/>
      <c r="H22" s="268" t="s">
        <v>611</v>
      </c>
      <c r="I22" s="268" t="s">
        <v>612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613</v>
      </c>
      <c r="E23" s="15"/>
      <c r="H23" s="268" t="s">
        <v>614</v>
      </c>
      <c r="I23" s="8" t="s">
        <v>610</v>
      </c>
      <c r="J23" s="8"/>
      <c r="K23" s="8"/>
      <c r="L23" s="269"/>
    </row>
    <row r="24" spans="2:16" ht="15" customHeight="1">
      <c r="B24" s="22"/>
      <c r="C24" s="24" t="s">
        <v>616</v>
      </c>
      <c r="D24" s="24" t="str">
        <f>IF(D22=$H$22,L24,IF(D23=$H$24,M24,N24))</f>
        <v>=&gt;  Q(D) = KW  x  h(T, SLP-Typ)  x  F(WT)</v>
      </c>
      <c r="E24" s="15"/>
      <c r="H24" s="268" t="s">
        <v>613</v>
      </c>
      <c r="I24" s="268" t="s">
        <v>620</v>
      </c>
      <c r="J24" s="8"/>
      <c r="K24" s="8"/>
      <c r="L24" s="271" t="s">
        <v>621</v>
      </c>
      <c r="M24" s="271" t="s">
        <v>623</v>
      </c>
      <c r="N24" s="271" t="s">
        <v>622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372</v>
      </c>
      <c r="C26" s="6" t="s">
        <v>580</v>
      </c>
      <c r="D26" s="42" t="s">
        <v>136</v>
      </c>
      <c r="E26" s="15"/>
      <c r="H26" s="270" t="s">
        <v>134</v>
      </c>
      <c r="I26" s="270" t="s">
        <v>136</v>
      </c>
      <c r="J26" s="268"/>
      <c r="K26" s="268"/>
      <c r="L26" s="269"/>
    </row>
    <row r="27" spans="2:16" ht="15" customHeight="1">
      <c r="B27" s="7"/>
      <c r="C27" s="6" t="s">
        <v>624</v>
      </c>
      <c r="D27" s="42" t="s">
        <v>625</v>
      </c>
      <c r="E27" s="15"/>
      <c r="H27" s="298" t="s">
        <v>625</v>
      </c>
      <c r="I27" s="270" t="s">
        <v>626</v>
      </c>
      <c r="J27" s="270" t="s">
        <v>627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628</v>
      </c>
      <c r="I28" s="271" t="s">
        <v>629</v>
      </c>
      <c r="J28" s="271" t="s">
        <v>630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631</v>
      </c>
      <c r="I29" s="271" t="s">
        <v>632</v>
      </c>
      <c r="J29" s="271" t="s">
        <v>633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496</v>
      </c>
      <c r="C31" s="6" t="s">
        <v>579</v>
      </c>
      <c r="D31" s="42" t="s">
        <v>136</v>
      </c>
      <c r="E31" s="15"/>
      <c r="H31" s="270" t="s">
        <v>134</v>
      </c>
      <c r="I31" s="270" t="s">
        <v>136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634</v>
      </c>
      <c r="I32" s="271" t="s">
        <v>635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636</v>
      </c>
      <c r="I33" s="268" t="s">
        <v>631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551</v>
      </c>
      <c r="C35" s="24" t="s">
        <v>498</v>
      </c>
      <c r="D35" s="42">
        <v>10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552</v>
      </c>
      <c r="C37" s="5" t="s">
        <v>367</v>
      </c>
      <c r="D37" s="34">
        <v>1500000</v>
      </c>
      <c r="E37" s="15" t="s">
        <v>509</v>
      </c>
      <c r="I37" s="268"/>
      <c r="J37" s="268"/>
      <c r="K37" s="268"/>
      <c r="L37" s="268"/>
      <c r="M37" s="269"/>
    </row>
    <row r="38" spans="2:39" customFormat="1" ht="15" customHeight="1">
      <c r="C38" s="8" t="s">
        <v>494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553</v>
      </c>
      <c r="C40" s="5" t="s">
        <v>368</v>
      </c>
      <c r="D40" s="36"/>
      <c r="E40" s="15" t="s">
        <v>543</v>
      </c>
      <c r="H40" s="67"/>
      <c r="I40" s="67"/>
      <c r="J40" s="67"/>
      <c r="K40" s="67"/>
    </row>
    <row r="41" spans="2:39" ht="15" customHeight="1">
      <c r="C41" s="8" t="s">
        <v>495</v>
      </c>
    </row>
    <row r="42" spans="2:39" ht="15" customHeight="1">
      <c r="B42" s="7"/>
      <c r="C42" s="3"/>
    </row>
    <row r="43" spans="2:39" ht="15" customHeight="1">
      <c r="B43" s="7"/>
      <c r="C43" s="3" t="s">
        <v>542</v>
      </c>
    </row>
    <row r="44" spans="2:39" ht="18" customHeight="1">
      <c r="C44" s="3" t="s">
        <v>544</v>
      </c>
    </row>
    <row r="45" spans="2:39" ht="18" customHeight="1">
      <c r="C45" s="3"/>
    </row>
    <row r="46" spans="2:39" ht="15" customHeight="1">
      <c r="B46" s="22" t="s">
        <v>554</v>
      </c>
      <c r="C46" s="60" t="s">
        <v>578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588</v>
      </c>
      <c r="D48" s="45" t="s">
        <v>664</v>
      </c>
    </row>
    <row r="49" spans="3:4" ht="18" customHeight="1">
      <c r="C49" s="22" t="s">
        <v>589</v>
      </c>
      <c r="D49" s="45"/>
    </row>
    <row r="50" spans="3:4" ht="18" customHeight="1">
      <c r="C50" s="22" t="s">
        <v>590</v>
      </c>
      <c r="D50" s="45"/>
    </row>
    <row r="51" spans="3:4" ht="18" customHeight="1">
      <c r="C51" s="22" t="s">
        <v>591</v>
      </c>
      <c r="D51" s="45"/>
    </row>
    <row r="52" spans="3:4" ht="18" customHeight="1">
      <c r="C52" s="22" t="s">
        <v>592</v>
      </c>
      <c r="D52" s="45"/>
    </row>
    <row r="53" spans="3:4" ht="18" customHeight="1">
      <c r="C53" s="22" t="s">
        <v>593</v>
      </c>
      <c r="D53" s="45"/>
    </row>
    <row r="54" spans="3:4" ht="18" customHeight="1">
      <c r="C54" s="22" t="s">
        <v>594</v>
      </c>
      <c r="D54" s="45"/>
    </row>
    <row r="55" spans="3:4" ht="18" customHeight="1">
      <c r="C55" s="22" t="s">
        <v>595</v>
      </c>
      <c r="D55" s="45"/>
    </row>
    <row r="56" spans="3:4" ht="18" customHeight="1">
      <c r="C56" s="22" t="s">
        <v>596</v>
      </c>
      <c r="D56" s="45"/>
    </row>
    <row r="57" spans="3:4" ht="18" customHeight="1">
      <c r="C57" s="22" t="s">
        <v>597</v>
      </c>
      <c r="D57" s="45"/>
    </row>
    <row r="58" spans="3:4" ht="18" customHeight="1">
      <c r="C58" s="22" t="s">
        <v>598</v>
      </c>
      <c r="D58" s="45"/>
    </row>
    <row r="59" spans="3:4" ht="18" customHeight="1">
      <c r="C59" s="22" t="s">
        <v>599</v>
      </c>
      <c r="D59" s="45"/>
    </row>
    <row r="60" spans="3:4" ht="18" customHeight="1">
      <c r="C60" s="22" t="s">
        <v>600</v>
      </c>
      <c r="D60" s="45"/>
    </row>
    <row r="61" spans="3:4" ht="18" customHeight="1">
      <c r="C61" s="22" t="s">
        <v>601</v>
      </c>
      <c r="D61" s="45"/>
    </row>
    <row r="62" spans="3:4" ht="18" customHeight="1">
      <c r="C62" s="22" t="s">
        <v>602</v>
      </c>
      <c r="D62" s="45"/>
    </row>
  </sheetData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19" zoomScale="70" zoomScaleNormal="70" workbookViewId="0">
      <selection activeCell="H23" sqref="H23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Netzbetreiber!D9</f>
        <v>Vereinigte Stadtwerke Netz GmbH</v>
      </c>
      <c r="F4" s="331"/>
      <c r="G4" s="331"/>
      <c r="M4" s="130"/>
      <c r="N4" s="130"/>
      <c r="O4" s="130"/>
    </row>
    <row r="5" spans="2:56">
      <c r="B5" s="130"/>
      <c r="C5" s="56" t="s">
        <v>447</v>
      </c>
      <c r="D5" s="57"/>
      <c r="E5" s="58">
        <f>Netzbetreiber!D28</f>
        <v>700303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Netzbetreiber!D11</f>
        <v>9870030300006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Netzbetreiber!D6</f>
        <v>42736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1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4" t="str">
        <f>INDEX('SLP-Verfahren'!D48:D62,'SLP-Temp-Gebiet #01'!F10)</f>
        <v>Hamburg-Fuhlsbüttel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586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451</v>
      </c>
      <c r="D14" s="342"/>
      <c r="E14" s="89" t="s">
        <v>452</v>
      </c>
      <c r="F14" s="263" t="s">
        <v>85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3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389</v>
      </c>
      <c r="D15" s="342"/>
      <c r="E15" s="89" t="s">
        <v>452</v>
      </c>
      <c r="F15" s="263" t="s">
        <v>71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530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372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505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665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>
        <v>10147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454</v>
      </c>
      <c r="D34" s="153" t="s">
        <v>453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455</v>
      </c>
      <c r="H36" s="162" t="s">
        <v>455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MeteoGroup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HH-Fuhlsbüttel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>
        <f>E25</f>
        <v>10147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145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Kalendertag</v>
      </c>
      <c r="F68" s="159" t="str">
        <f t="shared" ref="F68:N68" si="15">F34</f>
        <v>Kalendertag</v>
      </c>
      <c r="G68" s="159" t="str">
        <f t="shared" si="15"/>
        <v>Kalendertag</v>
      </c>
      <c r="H68" s="159" t="str">
        <f t="shared" si="15"/>
        <v>Kalendertag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455</v>
      </c>
      <c r="F70" s="163" t="s">
        <v>455</v>
      </c>
      <c r="G70" s="163" t="s">
        <v>455</v>
      </c>
      <c r="H70" s="163" t="str">
        <f t="shared" ref="H70:N70" si="17">H36</f>
        <v>Temp.-Prog.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142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F36 E26:N26 E56:N60 E22:F22 I22:N22 F62 G24:N24 H70:N70 E32:N33 E69:N69 F25:N25 I34:N34 I36:N3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Netzbetreiber!$D$9</f>
        <v>Vereinigte Stadtwerke Netz GmbH</v>
      </c>
      <c r="F4" s="130"/>
      <c r="M4" s="130"/>
      <c r="N4" s="130"/>
      <c r="O4" s="130"/>
    </row>
    <row r="5" spans="2:56">
      <c r="B5" s="130"/>
      <c r="C5" s="56" t="s">
        <v>447</v>
      </c>
      <c r="D5" s="57"/>
      <c r="E5" s="58">
        <f>Netzbetreiber!$D$28</f>
        <v>700303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Netzbetreiber!$D$11</f>
        <v>9870030300006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Netzbetreiber!$D$6</f>
        <v>42736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2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586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451</v>
      </c>
      <c r="D14" s="342"/>
      <c r="E14" s="89" t="s">
        <v>452</v>
      </c>
      <c r="F14" s="263" t="s">
        <v>85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3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389</v>
      </c>
      <c r="D15" s="342"/>
      <c r="E15" s="89" t="s">
        <v>452</v>
      </c>
      <c r="F15" s="263" t="s">
        <v>71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530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372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583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454</v>
      </c>
      <c r="D34" s="153" t="s">
        <v>453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145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456</v>
      </c>
      <c r="F70" s="163" t="s">
        <v>456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142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H25" sqref="H25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469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371</v>
      </c>
      <c r="D5" s="54" t="str">
        <f>Netzbetreiber!$D$9</f>
        <v>Vereinigte Stadtwerke Netz GmbH</v>
      </c>
      <c r="E5" s="130"/>
      <c r="J5" s="88" t="s">
        <v>500</v>
      </c>
      <c r="K5" s="131" t="s">
        <v>503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338</v>
      </c>
      <c r="D6" s="54">
        <f>Netzbetreiber!$D$28</f>
        <v>700303</v>
      </c>
      <c r="E6" s="130"/>
      <c r="F6" s="130"/>
      <c r="K6" s="131" t="s">
        <v>511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490</v>
      </c>
      <c r="D7" s="54" t="str">
        <f>Netzbetreiber!$D$11</f>
        <v>9870030300006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133</v>
      </c>
      <c r="D8" s="52">
        <f>Netzbetreiber!$D$6</f>
        <v>42736</v>
      </c>
      <c r="E8" s="130"/>
      <c r="F8" s="130"/>
      <c r="H8" s="128" t="s">
        <v>498</v>
      </c>
      <c r="J8" s="132">
        <f>COUNTA(D12:D100)</f>
        <v>10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248</v>
      </c>
      <c r="C10" s="135" t="s">
        <v>497</v>
      </c>
      <c r="D10" s="134" t="s">
        <v>147</v>
      </c>
      <c r="E10" s="273" t="s">
        <v>513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637</v>
      </c>
      <c r="M10" s="150" t="s">
        <v>646</v>
      </c>
      <c r="N10" s="151" t="s">
        <v>647</v>
      </c>
      <c r="O10" s="151" t="s">
        <v>648</v>
      </c>
      <c r="P10" s="152" t="s">
        <v>649</v>
      </c>
      <c r="Q10" s="146" t="s">
        <v>638</v>
      </c>
      <c r="R10" s="136" t="s">
        <v>639</v>
      </c>
      <c r="S10" s="137" t="s">
        <v>640</v>
      </c>
      <c r="T10" s="137" t="s">
        <v>641</v>
      </c>
      <c r="U10" s="137" t="s">
        <v>642</v>
      </c>
      <c r="V10" s="137" t="s">
        <v>643</v>
      </c>
      <c r="W10" s="137" t="s">
        <v>644</v>
      </c>
      <c r="X10" s="138" t="s">
        <v>645</v>
      </c>
      <c r="Y10" s="295" t="s">
        <v>650</v>
      </c>
    </row>
    <row r="11" spans="2:26" ht="15.75" thickBot="1">
      <c r="B11" s="139" t="s">
        <v>499</v>
      </c>
      <c r="C11" s="140" t="s">
        <v>512</v>
      </c>
      <c r="D11" s="294" t="s">
        <v>247</v>
      </c>
      <c r="E11" s="164" t="s">
        <v>519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6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7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>
        <f t="shared" ref="C12:C41" si="0">$D$6</f>
        <v>700303</v>
      </c>
      <c r="D12" s="62" t="s">
        <v>247</v>
      </c>
      <c r="E12" s="165" t="s">
        <v>667</v>
      </c>
      <c r="F12" s="297" t="str">
        <f>VLOOKUP($E12,'BDEW-Standard'!$B$3:$M$158,F$9,0)</f>
        <v>1D3</v>
      </c>
      <c r="H12" s="274">
        <f>ROUND(VLOOKUP($E12,'BDEW-Standard'!$B$3:$M$158,H$9,0),7)</f>
        <v>1.6209544</v>
      </c>
      <c r="I12" s="274">
        <f>ROUND(VLOOKUP($E12,'BDEW-Standard'!$B$3:$M$158,I$9,0),7)</f>
        <v>-37.183314099999997</v>
      </c>
      <c r="J12" s="274">
        <f>ROUND(VLOOKUP($E12,'BDEW-Standard'!$B$3:$M$158,J$9,0),7)</f>
        <v>5.6727847000000002</v>
      </c>
      <c r="K12" s="274">
        <f>ROUND(VLOOKUP($E12,'BDEW-Standard'!$B$3:$M$158,K$9,0),7)</f>
        <v>7.1643100000000001E-2</v>
      </c>
      <c r="L12" s="338">
        <f>ROUND(VLOOKUP($E12,'BDEW-Standard'!$B$3:$M$158,L$9,0),1)</f>
        <v>40</v>
      </c>
      <c r="M12" s="274">
        <f>ROUND(VLOOKUP($E12,'BDEW-Standard'!$B$3:$M$158,M$9,0),7)</f>
        <v>-4.9570000000000003E-2</v>
      </c>
      <c r="N12" s="274">
        <f>ROUND(VLOOKUP($E12,'BDEW-Standard'!$B$3:$M$158,N$9,0),7)</f>
        <v>0.84010149999999995</v>
      </c>
      <c r="O12" s="274">
        <f>ROUND(VLOOKUP($E12,'BDEW-Standard'!$B$3:$M$158,O$9,0),7)</f>
        <v>-2.209E-3</v>
      </c>
      <c r="P12" s="274">
        <f>ROUND(VLOOKUP($E12,'BDEW-Standard'!$B$3:$M$158,P$9,0),7)</f>
        <v>0.1074468</v>
      </c>
      <c r="Q12" s="339">
        <f t="shared" ref="Q12:Q21" si="1">($H12/(1+($I12/($Q$9-$L12))^$J12)+$K12)+MAX($M12*$Q$9+$N12,$O12*$Q$9+$P12)</f>
        <v>1.0000001417752751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>
        <f t="shared" si="0"/>
        <v>700303</v>
      </c>
      <c r="D13" s="62" t="s">
        <v>247</v>
      </c>
      <c r="E13" s="165" t="s">
        <v>668</v>
      </c>
      <c r="F13" s="297" t="str">
        <f>VLOOKUP($E13,'BDEW-Standard'!$B$3:$M$158,F$9,0)</f>
        <v>2D3</v>
      </c>
      <c r="H13" s="274">
        <f>ROUND(VLOOKUP($E13,'BDEW-Standard'!$B$3:$M$158,H$9,0),7)</f>
        <v>1.2328654999999999</v>
      </c>
      <c r="I13" s="274">
        <f>ROUND(VLOOKUP($E13,'BDEW-Standard'!$B$3:$M$158,I$9,0),7)</f>
        <v>-34.721360500000003</v>
      </c>
      <c r="J13" s="274">
        <f>ROUND(VLOOKUP($E13,'BDEW-Standard'!$B$3:$M$158,J$9,0),7)</f>
        <v>5.8164303999999998</v>
      </c>
      <c r="K13" s="274">
        <f>ROUND(VLOOKUP($E13,'BDEW-Standard'!$B$3:$M$158,K$9,0),7)</f>
        <v>8.7335200000000002E-2</v>
      </c>
      <c r="L13" s="338">
        <f>ROUND(VLOOKUP($E13,'BDEW-Standard'!$B$3:$M$158,L$9,0),7)</f>
        <v>40</v>
      </c>
      <c r="M13" s="274">
        <f>ROUND(VLOOKUP($E13,'BDEW-Standard'!$B$3:$M$158,M$9,0),7)</f>
        <v>-4.0928399999999997E-2</v>
      </c>
      <c r="N13" s="274">
        <f>ROUND(VLOOKUP($E13,'BDEW-Standard'!$B$3:$M$158,N$9,0),7)</f>
        <v>0.76729199999999997</v>
      </c>
      <c r="O13" s="274">
        <f>ROUND(VLOOKUP($E13,'BDEW-Standard'!$B$3:$M$158,O$9,0),7)</f>
        <v>-2.232E-3</v>
      </c>
      <c r="P13" s="274">
        <f>ROUND(VLOOKUP($E13,'BDEW-Standard'!$B$3:$M$158,P$9,0),7)</f>
        <v>0.11992070000000001</v>
      </c>
      <c r="Q13" s="339">
        <f t="shared" si="1"/>
        <v>0.99999997653191475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1" si="2">7-SUM(R13:W13)</f>
        <v>1</v>
      </c>
      <c r="Y13" s="293"/>
      <c r="Z13" s="211"/>
    </row>
    <row r="14" spans="2:26" s="143" customFormat="1">
      <c r="B14" s="144">
        <v>3</v>
      </c>
      <c r="C14" s="145">
        <f t="shared" si="0"/>
        <v>700303</v>
      </c>
      <c r="D14" s="62" t="s">
        <v>247</v>
      </c>
      <c r="E14" s="165" t="s">
        <v>669</v>
      </c>
      <c r="F14" s="297" t="str">
        <f>VLOOKUP($E14,'BDEW-Standard'!$B$3:$M$158,F$9,0)</f>
        <v>DH3</v>
      </c>
      <c r="H14" s="274">
        <f>ROUND(VLOOKUP($E14,'BDEW-Standard'!$B$3:$M$94,H$9,0),7)</f>
        <v>1.3010622999999999</v>
      </c>
      <c r="I14" s="274">
        <f>ROUND(VLOOKUP($E14,'BDEW-Standard'!$B$3:$M$94,I$9,0),7)</f>
        <v>-35.681614400000001</v>
      </c>
      <c r="J14" s="274">
        <f>ROUND(VLOOKUP($E14,'BDEW-Standard'!$B$3:$M$94,J$9,0),7)</f>
        <v>6.6857975999999999</v>
      </c>
      <c r="K14" s="274">
        <f>ROUND(VLOOKUP($E14,'BDEW-Standard'!$B$3:$M$94,K$9,0),7)</f>
        <v>0.14092669999999999</v>
      </c>
      <c r="L14" s="338">
        <f>ROUND(VLOOKUP($E14,'BDEW-Standard'!$B$3:$M$94,L$9,0),1)</f>
        <v>40</v>
      </c>
      <c r="M14" s="274">
        <f>ROUND(VLOOKUP($E14,'BDEW-Standard'!$B$3:$M$94,M$9,0),7)</f>
        <v>-4.7342799999999997E-2</v>
      </c>
      <c r="N14" s="274">
        <f>ROUND(VLOOKUP($E14,'BDEW-Standard'!$B$3:$M$94,N$9,0),7)</f>
        <v>0.81416909999999998</v>
      </c>
      <c r="O14" s="274">
        <f>ROUND(VLOOKUP($E14,'BDEW-Standard'!$B$3:$M$94,O$9,0),7)</f>
        <v>-1.0601E-3</v>
      </c>
      <c r="P14" s="274">
        <f>ROUND(VLOOKUP($E14,'BDEW-Standard'!$B$3:$M$94,P$9,0),7)</f>
        <v>0.13250919999999999</v>
      </c>
      <c r="Q14" s="339">
        <f t="shared" si="1"/>
        <v>1.000000069455792</v>
      </c>
      <c r="R14" s="275">
        <f>ROUND(VLOOKUP(MID($E14,4,3),'Wochentag F(WT)'!$B$7:$J$22,R$9,0),4)</f>
        <v>1.03</v>
      </c>
      <c r="S14" s="275">
        <f>ROUND(VLOOKUP(MID($E14,4,3),'Wochentag F(WT)'!$B$7:$J$22,S$9,0),4)</f>
        <v>1.03</v>
      </c>
      <c r="T14" s="275">
        <f>ROUND(VLOOKUP(MID($E14,4,3),'Wochentag F(WT)'!$B$7:$J$22,T$9,0),4)</f>
        <v>1.02</v>
      </c>
      <c r="U14" s="275">
        <f>ROUND(VLOOKUP(MID($E14,4,3),'Wochentag F(WT)'!$B$7:$J$22,U$9,0),4)</f>
        <v>1.03</v>
      </c>
      <c r="V14" s="275">
        <f>ROUND(VLOOKUP(MID($E14,4,3),'Wochentag F(WT)'!$B$7:$J$22,V$9,0),4)</f>
        <v>1.01</v>
      </c>
      <c r="W14" s="275">
        <f>ROUND(VLOOKUP(MID($E14,4,3),'Wochentag F(WT)'!$B$7:$J$22,W$9,0),4)</f>
        <v>0.93</v>
      </c>
      <c r="X14" s="276">
        <f t="shared" si="2"/>
        <v>0.95000000000000018</v>
      </c>
      <c r="Y14" s="293"/>
      <c r="Z14" s="211"/>
    </row>
    <row r="15" spans="2:26" s="143" customFormat="1">
      <c r="B15" s="144">
        <v>4</v>
      </c>
      <c r="C15" s="145">
        <f t="shared" si="0"/>
        <v>700303</v>
      </c>
      <c r="D15" s="62" t="s">
        <v>247</v>
      </c>
      <c r="E15" s="165" t="s">
        <v>670</v>
      </c>
      <c r="F15" s="297" t="str">
        <f>VLOOKUP($E15,'BDEW-Standard'!$B$3:$M$158,F$9,0)</f>
        <v>OK3</v>
      </c>
      <c r="H15" s="274">
        <f>ROUND(VLOOKUP($E15,'BDEW-Standard'!$B$3:$M$94,H$9,0),7)</f>
        <v>1.3554515</v>
      </c>
      <c r="I15" s="274">
        <f>ROUND(VLOOKUP($E15,'BDEW-Standard'!$B$3:$M$94,I$9,0),7)</f>
        <v>-35.141256300000002</v>
      </c>
      <c r="J15" s="274">
        <f>ROUND(VLOOKUP($E15,'BDEW-Standard'!$B$3:$M$94,J$9,0),7)</f>
        <v>7.1303394999999998</v>
      </c>
      <c r="K15" s="274">
        <f>ROUND(VLOOKUP($E15,'BDEW-Standard'!$B$3:$M$94,K$9,0),7)</f>
        <v>9.9061899999999994E-2</v>
      </c>
      <c r="L15" s="338">
        <f>ROUND(VLOOKUP($E15,'BDEW-Standard'!$B$3:$M$94,L$9,0),1)</f>
        <v>40</v>
      </c>
      <c r="M15" s="274">
        <f>ROUND(VLOOKUP($E15,'BDEW-Standard'!$B$3:$M$94,M$9,0),7)</f>
        <v>-5.26487E-2</v>
      </c>
      <c r="N15" s="274">
        <f>ROUND(VLOOKUP($E15,'BDEW-Standard'!$B$3:$M$94,N$9,0),7)</f>
        <v>0.86260859999999995</v>
      </c>
      <c r="O15" s="274">
        <f>ROUND(VLOOKUP($E15,'BDEW-Standard'!$B$3:$M$94,O$9,0),7)</f>
        <v>-8.8080000000000005E-4</v>
      </c>
      <c r="P15" s="274">
        <f>ROUND(VLOOKUP($E15,'BDEW-Standard'!$B$3:$M$94,P$9,0),7)</f>
        <v>9.6401399999999998E-2</v>
      </c>
      <c r="Q15" s="339">
        <f t="shared" si="1"/>
        <v>0.99999998782262245</v>
      </c>
      <c r="R15" s="275">
        <f>ROUND(VLOOKUP(MID($E15,4,3),'Wochentag F(WT)'!$B$7:$J$22,R$9,0),4)</f>
        <v>1.0354000000000001</v>
      </c>
      <c r="S15" s="275">
        <f>ROUND(VLOOKUP(MID($E15,4,3),'Wochentag F(WT)'!$B$7:$J$22,S$9,0),4)</f>
        <v>1.0523</v>
      </c>
      <c r="T15" s="275">
        <f>ROUND(VLOOKUP(MID($E15,4,3),'Wochentag F(WT)'!$B$7:$J$22,T$9,0),4)</f>
        <v>1.0448999999999999</v>
      </c>
      <c r="U15" s="275">
        <f>ROUND(VLOOKUP(MID($E15,4,3),'Wochentag F(WT)'!$B$7:$J$22,U$9,0),4)</f>
        <v>1.0494000000000001</v>
      </c>
      <c r="V15" s="275">
        <f>ROUND(VLOOKUP(MID($E15,4,3),'Wochentag F(WT)'!$B$7:$J$22,V$9,0),4)</f>
        <v>0.98850000000000005</v>
      </c>
      <c r="W15" s="275">
        <f>ROUND(VLOOKUP(MID($E15,4,3),'Wochentag F(WT)'!$B$7:$J$22,W$9,0),4)</f>
        <v>0.88600000000000001</v>
      </c>
      <c r="X15" s="276">
        <f t="shared" si="2"/>
        <v>0.94349999999999934</v>
      </c>
      <c r="Y15" s="293"/>
      <c r="Z15" s="211"/>
    </row>
    <row r="16" spans="2:26" s="143" customFormat="1">
      <c r="B16" s="144">
        <v>5</v>
      </c>
      <c r="C16" s="145">
        <f t="shared" si="0"/>
        <v>700303</v>
      </c>
      <c r="D16" s="62" t="s">
        <v>247</v>
      </c>
      <c r="E16" s="165" t="s">
        <v>671</v>
      </c>
      <c r="F16" s="297" t="str">
        <f>VLOOKUP($E16,'BDEW-Standard'!$B$3:$M$158,F$9,0)</f>
        <v>KM3</v>
      </c>
      <c r="H16" s="274">
        <f>ROUND(VLOOKUP($E16,'BDEW-Standard'!$B$3:$M$94,H$9,0),7)</f>
        <v>1.4202418999999999</v>
      </c>
      <c r="I16" s="274">
        <f>ROUND(VLOOKUP($E16,'BDEW-Standard'!$B$3:$M$94,I$9,0),7)</f>
        <v>-34.880612999999997</v>
      </c>
      <c r="J16" s="274">
        <f>ROUND(VLOOKUP($E16,'BDEW-Standard'!$B$3:$M$94,J$9,0),7)</f>
        <v>6.5951899000000003</v>
      </c>
      <c r="K16" s="274">
        <f>ROUND(VLOOKUP($E16,'BDEW-Standard'!$B$3:$M$94,K$9,0),7)</f>
        <v>3.8531700000000002E-2</v>
      </c>
      <c r="L16" s="338">
        <f>ROUND(VLOOKUP($E16,'BDEW-Standard'!$B$3:$M$94,L$9,0),1)</f>
        <v>40</v>
      </c>
      <c r="M16" s="274">
        <f>ROUND(VLOOKUP($E16,'BDEW-Standard'!$B$3:$M$94,M$9,0),7)</f>
        <v>-5.2108399999999999E-2</v>
      </c>
      <c r="N16" s="274">
        <f>ROUND(VLOOKUP($E16,'BDEW-Standard'!$B$3:$M$94,N$9,0),7)</f>
        <v>0.86479189999999995</v>
      </c>
      <c r="O16" s="274">
        <f>ROUND(VLOOKUP($E16,'BDEW-Standard'!$B$3:$M$94,O$9,0),7)</f>
        <v>-1.4369000000000001E-3</v>
      </c>
      <c r="P16" s="274">
        <f>ROUND(VLOOKUP($E16,'BDEW-Standard'!$B$3:$M$94,P$9,0),7)</f>
        <v>6.3760200000000003E-2</v>
      </c>
      <c r="Q16" s="339">
        <f t="shared" si="1"/>
        <v>1.0000002125085892</v>
      </c>
      <c r="R16" s="275">
        <f>ROUND(VLOOKUP(MID($E16,4,3),'Wochentag F(WT)'!$B$7:$J$22,R$9,0),4)</f>
        <v>1.0699000000000001</v>
      </c>
      <c r="S16" s="275">
        <f>ROUND(VLOOKUP(MID($E16,4,3),'Wochentag F(WT)'!$B$7:$J$22,S$9,0),4)</f>
        <v>1.0365</v>
      </c>
      <c r="T16" s="275">
        <f>ROUND(VLOOKUP(MID($E16,4,3),'Wochentag F(WT)'!$B$7:$J$22,T$9,0),4)</f>
        <v>0.99329999999999996</v>
      </c>
      <c r="U16" s="275">
        <f>ROUND(VLOOKUP(MID($E16,4,3),'Wochentag F(WT)'!$B$7:$J$22,U$9,0),4)</f>
        <v>0.99480000000000002</v>
      </c>
      <c r="V16" s="275">
        <f>ROUND(VLOOKUP(MID($E16,4,3),'Wochentag F(WT)'!$B$7:$J$22,V$9,0),4)</f>
        <v>1.0659000000000001</v>
      </c>
      <c r="W16" s="275">
        <f>ROUND(VLOOKUP(MID($E16,4,3),'Wochentag F(WT)'!$B$7:$J$22,W$9,0),4)</f>
        <v>0.93620000000000003</v>
      </c>
      <c r="X16" s="276">
        <f t="shared" si="2"/>
        <v>0.90339999999999954</v>
      </c>
      <c r="Y16" s="293"/>
      <c r="Z16" s="211"/>
    </row>
    <row r="17" spans="2:26" s="143" customFormat="1">
      <c r="B17" s="144">
        <v>6</v>
      </c>
      <c r="C17" s="145">
        <f t="shared" si="0"/>
        <v>700303</v>
      </c>
      <c r="D17" s="62" t="s">
        <v>247</v>
      </c>
      <c r="E17" s="165" t="s">
        <v>672</v>
      </c>
      <c r="F17" s="297" t="str">
        <f>VLOOKUP($E17,'BDEW-Standard'!$B$3:$M$158,F$9,0)</f>
        <v>HB3</v>
      </c>
      <c r="H17" s="274">
        <f>ROUND(VLOOKUP($E17,'BDEW-Standard'!$B$3:$M$94,H$9,0),7)</f>
        <v>0.98742830000000004</v>
      </c>
      <c r="I17" s="274">
        <f>ROUND(VLOOKUP($E17,'BDEW-Standard'!$B$3:$M$94,I$9,0),7)</f>
        <v>-35.253212400000002</v>
      </c>
      <c r="J17" s="274">
        <f>ROUND(VLOOKUP($E17,'BDEW-Standard'!$B$3:$M$94,J$9,0),7)</f>
        <v>6.1544406</v>
      </c>
      <c r="K17" s="274">
        <f>ROUND(VLOOKUP($E17,'BDEW-Standard'!$B$3:$M$94,K$9,0),7)</f>
        <v>0.22657160000000001</v>
      </c>
      <c r="L17" s="338">
        <f>ROUND(VLOOKUP($E17,'BDEW-Standard'!$B$3:$M$94,L$9,0),1)</f>
        <v>40</v>
      </c>
      <c r="M17" s="274">
        <f>ROUND(VLOOKUP($E17,'BDEW-Standard'!$B$3:$M$94,M$9,0),7)</f>
        <v>-3.3902000000000002E-2</v>
      </c>
      <c r="N17" s="274">
        <f>ROUND(VLOOKUP($E17,'BDEW-Standard'!$B$3:$M$94,N$9,0),7)</f>
        <v>0.69382339999999998</v>
      </c>
      <c r="O17" s="274">
        <f>ROUND(VLOOKUP($E17,'BDEW-Standard'!$B$3:$M$94,O$9,0),7)</f>
        <v>-1.2849000000000001E-3</v>
      </c>
      <c r="P17" s="274">
        <f>ROUND(VLOOKUP($E17,'BDEW-Standard'!$B$3:$M$94,P$9,0),7)</f>
        <v>0.20297319999999999</v>
      </c>
      <c r="Q17" s="339">
        <f t="shared" si="1"/>
        <v>0.99999983700977324</v>
      </c>
      <c r="R17" s="275">
        <f>ROUND(VLOOKUP(MID($E17,4,3),'Wochentag F(WT)'!$B$7:$J$22,R$9,0),4)</f>
        <v>0.97670000000000001</v>
      </c>
      <c r="S17" s="275">
        <f>ROUND(VLOOKUP(MID($E17,4,3),'Wochentag F(WT)'!$B$7:$J$22,S$9,0),4)</f>
        <v>1.0388999999999999</v>
      </c>
      <c r="T17" s="275">
        <f>ROUND(VLOOKUP(MID($E17,4,3),'Wochentag F(WT)'!$B$7:$J$22,T$9,0),4)</f>
        <v>1.0027999999999999</v>
      </c>
      <c r="U17" s="275">
        <f>ROUND(VLOOKUP(MID($E17,4,3),'Wochentag F(WT)'!$B$7:$J$22,U$9,0),4)</f>
        <v>1.0162</v>
      </c>
      <c r="V17" s="275">
        <f>ROUND(VLOOKUP(MID($E17,4,3),'Wochentag F(WT)'!$B$7:$J$22,V$9,0),4)</f>
        <v>1.0024</v>
      </c>
      <c r="W17" s="275">
        <f>ROUND(VLOOKUP(MID($E17,4,3),'Wochentag F(WT)'!$B$7:$J$22,W$9,0),4)</f>
        <v>1.0043</v>
      </c>
      <c r="X17" s="276">
        <f t="shared" si="2"/>
        <v>0.95870000000000122</v>
      </c>
      <c r="Y17" s="293"/>
      <c r="Z17" s="211"/>
    </row>
    <row r="18" spans="2:26" s="143" customFormat="1">
      <c r="B18" s="144">
        <v>7</v>
      </c>
      <c r="C18" s="145">
        <f t="shared" si="0"/>
        <v>700303</v>
      </c>
      <c r="D18" s="62" t="s">
        <v>247</v>
      </c>
      <c r="E18" s="165" t="s">
        <v>673</v>
      </c>
      <c r="F18" s="297" t="str">
        <f>VLOOKUP($E18,'BDEW-Standard'!$B$3:$M$158,F$9,0)</f>
        <v>AB3</v>
      </c>
      <c r="H18" s="274">
        <f>ROUND(VLOOKUP($E18,'BDEW-Standard'!$B$3:$M$94,H$9,0),7)</f>
        <v>0.2770087</v>
      </c>
      <c r="I18" s="274">
        <f>ROUND(VLOOKUP($E18,'BDEW-Standard'!$B$3:$M$94,I$9,0),7)</f>
        <v>-33</v>
      </c>
      <c r="J18" s="274">
        <f>ROUND(VLOOKUP($E18,'BDEW-Standard'!$B$3:$M$94,J$9,0),7)</f>
        <v>5.7212303000000002</v>
      </c>
      <c r="K18" s="274">
        <f>ROUND(VLOOKUP($E18,'BDEW-Standard'!$B$3:$M$94,K$9,0),7)</f>
        <v>0.48651179999999999</v>
      </c>
      <c r="L18" s="338">
        <f>ROUND(VLOOKUP($E18,'BDEW-Standard'!$B$3:$M$94,L$9,0),1)</f>
        <v>40</v>
      </c>
      <c r="M18" s="274">
        <f>ROUND(VLOOKUP($E18,'BDEW-Standard'!$B$3:$M$94,M$9,0),7)</f>
        <v>-9.4848999999999992E-3</v>
      </c>
      <c r="N18" s="274">
        <f>ROUND(VLOOKUP($E18,'BDEW-Standard'!$B$3:$M$94,N$9,0),7)</f>
        <v>0.46302369999999998</v>
      </c>
      <c r="O18" s="274">
        <f>ROUND(VLOOKUP($E18,'BDEW-Standard'!$B$3:$M$94,O$9,0),7)</f>
        <v>-7.1339999999999999E-4</v>
      </c>
      <c r="P18" s="274">
        <f>ROUND(VLOOKUP($E18,'BDEW-Standard'!$B$3:$M$94,P$9,0),7)</f>
        <v>0.3867447</v>
      </c>
      <c r="Q18" s="339">
        <f t="shared" si="1"/>
        <v>1.0000000764227039</v>
      </c>
      <c r="R18" s="275">
        <f>ROUND(VLOOKUP(MID($E18,4,3),'Wochentag F(WT)'!$B$7:$J$22,R$9,0),4)</f>
        <v>1.0848</v>
      </c>
      <c r="S18" s="275">
        <f>ROUND(VLOOKUP(MID($E18,4,3),'Wochentag F(WT)'!$B$7:$J$22,S$9,0),4)</f>
        <v>1.1211</v>
      </c>
      <c r="T18" s="275">
        <f>ROUND(VLOOKUP(MID($E18,4,3),'Wochentag F(WT)'!$B$7:$J$22,T$9,0),4)</f>
        <v>1.0769</v>
      </c>
      <c r="U18" s="275">
        <f>ROUND(VLOOKUP(MID($E18,4,3),'Wochentag F(WT)'!$B$7:$J$22,U$9,0),4)</f>
        <v>1.1353</v>
      </c>
      <c r="V18" s="275">
        <f>ROUND(VLOOKUP(MID($E18,4,3),'Wochentag F(WT)'!$B$7:$J$22,V$9,0),4)</f>
        <v>1.1402000000000001</v>
      </c>
      <c r="W18" s="275">
        <f>ROUND(VLOOKUP(MID($E18,4,3),'Wochentag F(WT)'!$B$7:$J$22,W$9,0),4)</f>
        <v>0.48520000000000002</v>
      </c>
      <c r="X18" s="276">
        <f t="shared" si="2"/>
        <v>0.95650000000000013</v>
      </c>
      <c r="Y18" s="293"/>
      <c r="Z18" s="211"/>
    </row>
    <row r="19" spans="2:26" s="143" customFormat="1">
      <c r="B19" s="144">
        <v>8</v>
      </c>
      <c r="C19" s="145">
        <f t="shared" si="0"/>
        <v>700303</v>
      </c>
      <c r="D19" s="62" t="s">
        <v>247</v>
      </c>
      <c r="E19" s="165" t="s">
        <v>674</v>
      </c>
      <c r="F19" s="297" t="str">
        <f>VLOOKUP($E19,'BDEW-Standard'!$B$3:$M$158,F$9,0)</f>
        <v>AG3</v>
      </c>
      <c r="H19" s="274">
        <f>ROUND(VLOOKUP($E19,'BDEW-Standard'!$B$3:$M$94,H$9,0),7)</f>
        <v>1.1582082</v>
      </c>
      <c r="I19" s="274">
        <f>ROUND(VLOOKUP($E19,'BDEW-Standard'!$B$3:$M$94,I$9,0),7)</f>
        <v>-36.287858399999998</v>
      </c>
      <c r="J19" s="274">
        <f>ROUND(VLOOKUP($E19,'BDEW-Standard'!$B$3:$M$94,J$9,0),7)</f>
        <v>6.5885125999999996</v>
      </c>
      <c r="K19" s="274">
        <f>ROUND(VLOOKUP($E19,'BDEW-Standard'!$B$3:$M$94,K$9,0),7)</f>
        <v>0.22356799999999999</v>
      </c>
      <c r="L19" s="338">
        <f>ROUND(VLOOKUP($E19,'BDEW-Standard'!$B$3:$M$94,L$9,0),1)</f>
        <v>40</v>
      </c>
      <c r="M19" s="274">
        <f>ROUND(VLOOKUP($E19,'BDEW-Standard'!$B$3:$M$94,M$9,0),7)</f>
        <v>-4.1033500000000001E-2</v>
      </c>
      <c r="N19" s="274">
        <f>ROUND(VLOOKUP($E19,'BDEW-Standard'!$B$3:$M$94,N$9,0),7)</f>
        <v>0.75264509999999996</v>
      </c>
      <c r="O19" s="274">
        <f>ROUND(VLOOKUP($E19,'BDEW-Standard'!$B$3:$M$94,O$9,0),7)</f>
        <v>-9.0879999999999997E-4</v>
      </c>
      <c r="P19" s="274">
        <f>ROUND(VLOOKUP($E19,'BDEW-Standard'!$B$3:$M$94,P$9,0),7)</f>
        <v>0.1916641</v>
      </c>
      <c r="Q19" s="339">
        <f t="shared" si="1"/>
        <v>0.99999977999083423</v>
      </c>
      <c r="R19" s="275">
        <f>ROUND(VLOOKUP(MID($E19,4,3),'Wochentag F(WT)'!$B$7:$J$22,R$9,0),4)</f>
        <v>0.93220000000000003</v>
      </c>
      <c r="S19" s="275">
        <f>ROUND(VLOOKUP(MID($E19,4,3),'Wochentag F(WT)'!$B$7:$J$22,S$9,0),4)</f>
        <v>0.98939999999999995</v>
      </c>
      <c r="T19" s="275">
        <f>ROUND(VLOOKUP(MID($E19,4,3),'Wochentag F(WT)'!$B$7:$J$22,T$9,0),4)</f>
        <v>1.0033000000000001</v>
      </c>
      <c r="U19" s="275">
        <f>ROUND(VLOOKUP(MID($E19,4,3),'Wochentag F(WT)'!$B$7:$J$22,U$9,0),4)</f>
        <v>1.0108999999999999</v>
      </c>
      <c r="V19" s="275">
        <f>ROUND(VLOOKUP(MID($E19,4,3),'Wochentag F(WT)'!$B$7:$J$22,V$9,0),4)</f>
        <v>1.018</v>
      </c>
      <c r="W19" s="275">
        <f>ROUND(VLOOKUP(MID($E19,4,3),'Wochentag F(WT)'!$B$7:$J$22,W$9,0),4)</f>
        <v>1.0356000000000001</v>
      </c>
      <c r="X19" s="276">
        <f t="shared" si="2"/>
        <v>1.0106000000000002</v>
      </c>
      <c r="Y19" s="293"/>
      <c r="Z19" s="211"/>
    </row>
    <row r="20" spans="2:26" s="143" customFormat="1">
      <c r="B20" s="144">
        <v>9</v>
      </c>
      <c r="C20" s="145">
        <f t="shared" si="0"/>
        <v>700303</v>
      </c>
      <c r="D20" s="62" t="s">
        <v>247</v>
      </c>
      <c r="E20" s="165" t="s">
        <v>675</v>
      </c>
      <c r="F20" s="297" t="str">
        <f>VLOOKUP($E20,'BDEW-Standard'!$B$3:$M$158,F$9,0)</f>
        <v>FM3</v>
      </c>
      <c r="H20" s="274">
        <f>ROUND(VLOOKUP($E20,'BDEW-Standard'!$B$3:$M$94,H$9,0),7)</f>
        <v>1.2328654999999999</v>
      </c>
      <c r="I20" s="274">
        <f>ROUND(VLOOKUP($E20,'BDEW-Standard'!$B$3:$M$94,I$9,0),7)</f>
        <v>-34.721360500000003</v>
      </c>
      <c r="J20" s="274">
        <f>ROUND(VLOOKUP($E20,'BDEW-Standard'!$B$3:$M$94,J$9,0),7)</f>
        <v>5.8164303999999998</v>
      </c>
      <c r="K20" s="274">
        <f>ROUND(VLOOKUP($E20,'BDEW-Standard'!$B$3:$M$94,K$9,0),7)</f>
        <v>8.7335200000000002E-2</v>
      </c>
      <c r="L20" s="338">
        <f>ROUND(VLOOKUP($E20,'BDEW-Standard'!$B$3:$M$94,L$9,0),1)</f>
        <v>40</v>
      </c>
      <c r="M20" s="274">
        <f>ROUND(VLOOKUP($E20,'BDEW-Standard'!$B$3:$M$94,M$9,0),7)</f>
        <v>-4.0928399999999997E-2</v>
      </c>
      <c r="N20" s="274">
        <f>ROUND(VLOOKUP($E20,'BDEW-Standard'!$B$3:$M$94,N$9,0),7)</f>
        <v>0.76729199999999997</v>
      </c>
      <c r="O20" s="274">
        <f>ROUND(VLOOKUP($E20,'BDEW-Standard'!$B$3:$M$94,O$9,0),7)</f>
        <v>-2.232E-3</v>
      </c>
      <c r="P20" s="274">
        <f>ROUND(VLOOKUP($E20,'BDEW-Standard'!$B$3:$M$94,P$9,0),7)</f>
        <v>0.11992070000000001</v>
      </c>
      <c r="Q20" s="339">
        <f t="shared" si="1"/>
        <v>0.99999997653191475</v>
      </c>
      <c r="R20" s="275">
        <f>ROUND(VLOOKUP(MID($E20,4,3),'Wochentag F(WT)'!$B$7:$J$22,R$9,0),4)</f>
        <v>1.0354000000000001</v>
      </c>
      <c r="S20" s="275">
        <f>ROUND(VLOOKUP(MID($E20,4,3),'Wochentag F(WT)'!$B$7:$J$22,S$9,0),4)</f>
        <v>1.0523</v>
      </c>
      <c r="T20" s="275">
        <f>ROUND(VLOOKUP(MID($E20,4,3),'Wochentag F(WT)'!$B$7:$J$22,T$9,0),4)</f>
        <v>1.0448999999999999</v>
      </c>
      <c r="U20" s="275">
        <f>ROUND(VLOOKUP(MID($E20,4,3),'Wochentag F(WT)'!$B$7:$J$22,U$9,0),4)</f>
        <v>1.0494000000000001</v>
      </c>
      <c r="V20" s="275">
        <f>ROUND(VLOOKUP(MID($E20,4,3),'Wochentag F(WT)'!$B$7:$J$22,V$9,0),4)</f>
        <v>0.98850000000000005</v>
      </c>
      <c r="W20" s="275">
        <f>ROUND(VLOOKUP(MID($E20,4,3),'Wochentag F(WT)'!$B$7:$J$22,W$9,0),4)</f>
        <v>0.88600000000000001</v>
      </c>
      <c r="X20" s="276">
        <f t="shared" si="2"/>
        <v>0.94349999999999934</v>
      </c>
      <c r="Y20" s="293"/>
      <c r="Z20" s="211"/>
    </row>
    <row r="21" spans="2:26" s="143" customFormat="1">
      <c r="B21" s="144">
        <v>10</v>
      </c>
      <c r="C21" s="145">
        <f t="shared" si="0"/>
        <v>700303</v>
      </c>
      <c r="D21" s="62" t="s">
        <v>247</v>
      </c>
      <c r="E21" s="165" t="s">
        <v>4</v>
      </c>
      <c r="F21" s="297" t="str">
        <f>VLOOKUP($E21,'BDEW-Standard'!$B$3:$M$158,F$9,0)</f>
        <v>HK3</v>
      </c>
      <c r="H21" s="274">
        <f>ROUND(VLOOKUP($E21,'BDEW-Standard'!$B$3:$M$94,H$9,0),7)</f>
        <v>0.40409319999999999</v>
      </c>
      <c r="I21" s="274">
        <f>ROUND(VLOOKUP($E21,'BDEW-Standard'!$B$3:$M$94,I$9,0),7)</f>
        <v>-24.439296800000001</v>
      </c>
      <c r="J21" s="274">
        <f>ROUND(VLOOKUP($E21,'BDEW-Standard'!$B$3:$M$94,J$9,0),7)</f>
        <v>6.5718174999999999</v>
      </c>
      <c r="K21" s="274">
        <f>ROUND(VLOOKUP($E21,'BDEW-Standard'!$B$3:$M$94,K$9,0),7)</f>
        <v>0.71077100000000004</v>
      </c>
      <c r="L21" s="338">
        <f>ROUND(VLOOKUP($E21,'BDEW-Standard'!$B$3:$M$94,L$9,0),1)</f>
        <v>40</v>
      </c>
      <c r="M21" s="274">
        <f>ROUND(VLOOKUP($E21,'BDEW-Standard'!$B$3:$M$94,M$9,0),7)</f>
        <v>0</v>
      </c>
      <c r="N21" s="274">
        <f>ROUND(VLOOKUP($E21,'BDEW-Standard'!$B$3:$M$94,N$9,0),7)</f>
        <v>0</v>
      </c>
      <c r="O21" s="274">
        <f>ROUND(VLOOKUP($E21,'BDEW-Standard'!$B$3:$M$94,O$9,0),7)</f>
        <v>0</v>
      </c>
      <c r="P21" s="274">
        <f>ROUND(VLOOKUP($E21,'BDEW-Standard'!$B$3:$M$94,P$9,0),7)</f>
        <v>0</v>
      </c>
      <c r="Q21" s="339">
        <f t="shared" si="1"/>
        <v>1.0561214000512988</v>
      </c>
      <c r="R21" s="275">
        <f>ROUND(VLOOKUP(MID($E21,4,3),'Wochentag F(WT)'!$B$7:$J$22,R$9,0),4)</f>
        <v>1</v>
      </c>
      <c r="S21" s="275">
        <f>ROUND(VLOOKUP(MID($E21,4,3),'Wochentag F(WT)'!$B$7:$J$22,S$9,0),4)</f>
        <v>1</v>
      </c>
      <c r="T21" s="275">
        <f>ROUND(VLOOKUP(MID($E21,4,3),'Wochentag F(WT)'!$B$7:$J$22,T$9,0),4)</f>
        <v>1</v>
      </c>
      <c r="U21" s="275">
        <f>ROUND(VLOOKUP(MID($E21,4,3),'Wochentag F(WT)'!$B$7:$J$22,U$9,0),4)</f>
        <v>1</v>
      </c>
      <c r="V21" s="275">
        <f>ROUND(VLOOKUP(MID($E21,4,3),'Wochentag F(WT)'!$B$7:$J$22,V$9,0),4)</f>
        <v>1</v>
      </c>
      <c r="W21" s="275">
        <f>ROUND(VLOOKUP(MID($E21,4,3),'Wochentag F(WT)'!$B$7:$J$22,W$9,0),4)</f>
        <v>1</v>
      </c>
      <c r="X21" s="276">
        <f t="shared" si="2"/>
        <v>1</v>
      </c>
      <c r="Y21" s="293"/>
      <c r="Z21" s="211"/>
    </row>
    <row r="22" spans="2:26" s="143" customFormat="1">
      <c r="B22" s="144">
        <v>11</v>
      </c>
      <c r="C22" s="145">
        <f t="shared" si="0"/>
        <v>700303</v>
      </c>
      <c r="D22" s="62"/>
      <c r="E22" s="165"/>
      <c r="F22" s="297"/>
      <c r="H22" s="274"/>
      <c r="I22" s="274"/>
      <c r="J22" s="274"/>
      <c r="K22" s="274"/>
      <c r="L22" s="338"/>
      <c r="M22" s="274"/>
      <c r="N22" s="274"/>
      <c r="O22" s="274"/>
      <c r="P22" s="274"/>
      <c r="Q22" s="339"/>
      <c r="R22" s="275"/>
      <c r="S22" s="275"/>
      <c r="T22" s="275"/>
      <c r="U22" s="275"/>
      <c r="V22" s="275"/>
      <c r="W22" s="275"/>
      <c r="X22" s="276"/>
      <c r="Y22" s="293"/>
      <c r="Z22" s="211"/>
    </row>
    <row r="23" spans="2:26" s="143" customFormat="1">
      <c r="B23" s="144">
        <v>12</v>
      </c>
      <c r="C23" s="145">
        <f t="shared" si="0"/>
        <v>700303</v>
      </c>
      <c r="D23" s="62"/>
      <c r="E23" s="165"/>
      <c r="F23" s="297"/>
      <c r="H23" s="274"/>
      <c r="I23" s="274"/>
      <c r="J23" s="274"/>
      <c r="K23" s="274"/>
      <c r="L23" s="338"/>
      <c r="M23" s="274"/>
      <c r="N23" s="274"/>
      <c r="O23" s="274"/>
      <c r="P23" s="274"/>
      <c r="Q23" s="339"/>
      <c r="R23" s="275"/>
      <c r="S23" s="275"/>
      <c r="T23" s="275"/>
      <c r="U23" s="275"/>
      <c r="V23" s="275"/>
      <c r="W23" s="275"/>
      <c r="X23" s="276"/>
      <c r="Y23" s="293"/>
      <c r="Z23" s="211"/>
    </row>
    <row r="24" spans="2:26" s="143" customFormat="1">
      <c r="B24" s="144">
        <v>13</v>
      </c>
      <c r="C24" s="145">
        <f t="shared" si="0"/>
        <v>700303</v>
      </c>
      <c r="D24" s="62"/>
      <c r="E24" s="165"/>
      <c r="F24" s="297"/>
      <c r="H24" s="274"/>
      <c r="I24" s="274"/>
      <c r="J24" s="274"/>
      <c r="K24" s="274"/>
      <c r="L24" s="338"/>
      <c r="M24" s="274"/>
      <c r="N24" s="274"/>
      <c r="O24" s="274"/>
      <c r="P24" s="274"/>
      <c r="Q24" s="339"/>
      <c r="R24" s="275"/>
      <c r="S24" s="275"/>
      <c r="T24" s="275"/>
      <c r="U24" s="275"/>
      <c r="V24" s="275"/>
      <c r="W24" s="275"/>
      <c r="X24" s="276"/>
      <c r="Y24" s="293"/>
      <c r="Z24" s="211"/>
    </row>
    <row r="25" spans="2:26" s="143" customFormat="1">
      <c r="B25" s="144">
        <v>14</v>
      </c>
      <c r="C25" s="145">
        <f t="shared" si="0"/>
        <v>700303</v>
      </c>
      <c r="D25" s="62"/>
      <c r="E25" s="165"/>
      <c r="F25" s="297"/>
      <c r="H25" s="274"/>
      <c r="I25" s="274"/>
      <c r="J25" s="274"/>
      <c r="K25" s="274"/>
      <c r="L25" s="338"/>
      <c r="M25" s="274"/>
      <c r="N25" s="274"/>
      <c r="O25" s="274"/>
      <c r="P25" s="274"/>
      <c r="Q25" s="339"/>
      <c r="R25" s="275"/>
      <c r="S25" s="275"/>
      <c r="T25" s="275"/>
      <c r="U25" s="275"/>
      <c r="V25" s="275"/>
      <c r="W25" s="275"/>
      <c r="X25" s="276"/>
      <c r="Y25" s="293"/>
      <c r="Z25" s="211"/>
    </row>
    <row r="26" spans="2:26" s="143" customFormat="1">
      <c r="B26" s="144">
        <v>15</v>
      </c>
      <c r="C26" s="145">
        <f t="shared" si="0"/>
        <v>700303</v>
      </c>
      <c r="D26" s="62"/>
      <c r="E26" s="165"/>
      <c r="F26" s="297"/>
      <c r="H26" s="274"/>
      <c r="I26" s="274"/>
      <c r="J26" s="274"/>
      <c r="K26" s="274"/>
      <c r="L26" s="338"/>
      <c r="M26" s="274"/>
      <c r="N26" s="274"/>
      <c r="O26" s="274"/>
      <c r="P26" s="274"/>
      <c r="Q26" s="339"/>
      <c r="R26" s="275"/>
      <c r="S26" s="275"/>
      <c r="T26" s="275"/>
      <c r="U26" s="275"/>
      <c r="V26" s="275"/>
      <c r="W26" s="275"/>
      <c r="X26" s="276"/>
      <c r="Y26" s="293"/>
      <c r="Z26" s="211"/>
    </row>
    <row r="27" spans="2:26" s="143" customFormat="1">
      <c r="B27" s="144">
        <v>16</v>
      </c>
      <c r="C27" s="145">
        <f t="shared" si="0"/>
        <v>700303</v>
      </c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>
        <f t="shared" si="0"/>
        <v>700303</v>
      </c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>
        <f t="shared" si="0"/>
        <v>700303</v>
      </c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>
        <f t="shared" si="0"/>
        <v>700303</v>
      </c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>
        <f t="shared" si="0"/>
        <v>700303</v>
      </c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>
        <f t="shared" si="0"/>
        <v>700303</v>
      </c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>
        <f t="shared" si="0"/>
        <v>700303</v>
      </c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>
        <f t="shared" si="0"/>
        <v>700303</v>
      </c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>
        <f t="shared" si="0"/>
        <v>700303</v>
      </c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>
        <f t="shared" si="0"/>
        <v>700303</v>
      </c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>
        <f t="shared" si="0"/>
        <v>700303</v>
      </c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>
        <f t="shared" si="0"/>
        <v>700303</v>
      </c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>
        <f t="shared" si="0"/>
        <v>700303</v>
      </c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>
        <f t="shared" si="0"/>
        <v>700303</v>
      </c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>
        <f t="shared" si="0"/>
        <v>700303</v>
      </c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H14:K21 C13:C33 C34:C41 M14:X21 Q12:X12 Q13:X13" unlockedFormula="1"/>
    <ignoredError sqref="L14:L21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H15" sqref="H15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449</v>
      </c>
    </row>
    <row r="3" spans="2:30" ht="15" customHeight="1">
      <c r="B3" s="84"/>
    </row>
    <row r="4" spans="2:30" ht="15" customHeight="1">
      <c r="B4" s="85" t="s">
        <v>448</v>
      </c>
      <c r="C4" s="63" t="str">
        <f>Netzbetreiber!$D$9</f>
        <v>Vereinigte Stadtwerke Netz GmbH</v>
      </c>
      <c r="D4" s="76"/>
      <c r="G4" s="76"/>
      <c r="I4" s="76"/>
      <c r="J4" s="77"/>
      <c r="M4" s="86" t="s">
        <v>541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447</v>
      </c>
      <c r="C5" s="64">
        <f>Netzbetreiber!$D$28</f>
        <v>700303</v>
      </c>
      <c r="D5" s="37"/>
      <c r="E5" s="76"/>
      <c r="F5" s="76"/>
      <c r="G5" s="76"/>
      <c r="I5" s="76"/>
      <c r="J5" s="76"/>
      <c r="K5" s="76"/>
      <c r="L5" s="76"/>
      <c r="M5" s="88" t="s">
        <v>510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445</v>
      </c>
      <c r="C6" s="63" t="str">
        <f>Netzbetreiber!$D$11</f>
        <v>9870030300006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42736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4" t="s">
        <v>461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470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49" t="s">
        <v>585</v>
      </c>
      <c r="C10" s="350"/>
      <c r="D10" s="94">
        <v>2</v>
      </c>
      <c r="E10" s="95" t="str">
        <f>IF(ISERROR(HLOOKUP(E$11,$M$9:$AD$33,$D10,0)),"",HLOOKUP(E$11,$M$9:$AD$33,$D10,0))</f>
        <v/>
      </c>
      <c r="F10" s="347" t="s">
        <v>399</v>
      </c>
      <c r="G10" s="347"/>
      <c r="H10" s="347"/>
      <c r="I10" s="347"/>
      <c r="J10" s="347"/>
      <c r="K10" s="347"/>
      <c r="L10" s="348"/>
      <c r="M10" s="96" t="s">
        <v>471</v>
      </c>
      <c r="N10" s="97" t="s">
        <v>472</v>
      </c>
      <c r="O10" s="98" t="s">
        <v>473</v>
      </c>
      <c r="P10" s="99" t="s">
        <v>474</v>
      </c>
      <c r="Q10" s="99" t="s">
        <v>475</v>
      </c>
      <c r="R10" s="99" t="s">
        <v>476</v>
      </c>
      <c r="S10" s="99" t="s">
        <v>477</v>
      </c>
      <c r="T10" s="99" t="s">
        <v>478</v>
      </c>
      <c r="U10" s="99" t="s">
        <v>479</v>
      </c>
      <c r="V10" s="99" t="s">
        <v>480</v>
      </c>
      <c r="W10" s="99" t="s">
        <v>481</v>
      </c>
      <c r="X10" s="99" t="s">
        <v>482</v>
      </c>
      <c r="Y10" s="99" t="s">
        <v>483</v>
      </c>
      <c r="Z10" s="99" t="s">
        <v>484</v>
      </c>
      <c r="AA10" s="99" t="s">
        <v>485</v>
      </c>
      <c r="AB10" s="99" t="s">
        <v>486</v>
      </c>
      <c r="AC10" s="100" t="s">
        <v>487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4">
        <f>MIN(SUMPRODUCT($M$11:$AD$11,M12:AD12),1)</f>
        <v>1</v>
      </c>
      <c r="F12" s="30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/>
    </row>
    <row r="13" spans="2:30" ht="15">
      <c r="B13" s="116" t="s">
        <v>401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402</v>
      </c>
      <c r="C14" s="117"/>
      <c r="D14" s="111">
        <v>6</v>
      </c>
      <c r="E14" s="305">
        <f t="shared" si="0"/>
        <v>0</v>
      </c>
      <c r="F14" s="30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05">
        <f t="shared" si="0"/>
        <v>0</v>
      </c>
      <c r="F15" s="30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05">
        <f t="shared" si="0"/>
        <v>1</v>
      </c>
      <c r="F16" s="30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/>
    </row>
    <row r="17" spans="2:30" ht="15">
      <c r="B17" s="121" t="s">
        <v>417</v>
      </c>
      <c r="C17" s="117"/>
      <c r="D17" s="111">
        <v>9</v>
      </c>
      <c r="E17" s="305">
        <f t="shared" si="0"/>
        <v>1</v>
      </c>
      <c r="F17" s="30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/>
    </row>
    <row r="18" spans="2:30" ht="15">
      <c r="B18" s="121" t="s">
        <v>418</v>
      </c>
      <c r="C18" s="117"/>
      <c r="D18" s="111">
        <v>10</v>
      </c>
      <c r="E18" s="305">
        <f t="shared" si="0"/>
        <v>1</v>
      </c>
      <c r="F18" s="30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/>
    </row>
    <row r="19" spans="2:30" ht="15">
      <c r="B19" s="121" t="s">
        <v>405</v>
      </c>
      <c r="C19" s="117"/>
      <c r="D19" s="111">
        <v>11</v>
      </c>
      <c r="E19" s="305">
        <f t="shared" si="0"/>
        <v>1</v>
      </c>
      <c r="F19" s="30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/>
    </row>
    <row r="20" spans="2:30" ht="15">
      <c r="B20" s="121" t="s">
        <v>651</v>
      </c>
      <c r="C20" s="117"/>
      <c r="D20" s="111">
        <v>12</v>
      </c>
      <c r="E20" s="305">
        <f t="shared" si="0"/>
        <v>1</v>
      </c>
      <c r="F20" s="30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/>
    </row>
    <row r="21" spans="2:30" ht="15">
      <c r="B21" s="121" t="s">
        <v>419</v>
      </c>
      <c r="C21" s="117"/>
      <c r="D21" s="111">
        <v>13</v>
      </c>
      <c r="E21" s="305">
        <f t="shared" si="0"/>
        <v>1</v>
      </c>
      <c r="F21" s="30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/>
    </row>
    <row r="22" spans="2:30" ht="15">
      <c r="B22" s="121" t="s">
        <v>420</v>
      </c>
      <c r="C22" s="117"/>
      <c r="D22" s="111">
        <v>14</v>
      </c>
      <c r="E22" s="305">
        <f t="shared" si="0"/>
        <v>1</v>
      </c>
      <c r="F22" s="30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/>
    </row>
    <row r="23" spans="2:30" ht="15">
      <c r="B23" s="116" t="s">
        <v>421</v>
      </c>
      <c r="C23" s="117"/>
      <c r="D23" s="111">
        <v>15</v>
      </c>
      <c r="E23" s="305">
        <f t="shared" si="0"/>
        <v>0</v>
      </c>
      <c r="F23" s="30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406</v>
      </c>
      <c r="C24" s="117"/>
      <c r="D24" s="111">
        <v>16</v>
      </c>
      <c r="E24" s="305">
        <f t="shared" si="0"/>
        <v>0</v>
      </c>
      <c r="F24" s="30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05">
        <f t="shared" si="0"/>
        <v>0</v>
      </c>
      <c r="F25" s="30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408</v>
      </c>
      <c r="C26" s="117"/>
      <c r="D26" s="111">
        <v>18</v>
      </c>
      <c r="E26" s="305">
        <f t="shared" si="0"/>
        <v>1</v>
      </c>
      <c r="F26" s="30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/>
    </row>
    <row r="27" spans="2:30" ht="15">
      <c r="B27" s="116" t="s">
        <v>409</v>
      </c>
      <c r="C27" s="117"/>
      <c r="D27" s="111">
        <v>19</v>
      </c>
      <c r="E27" s="305">
        <f t="shared" si="0"/>
        <v>0</v>
      </c>
      <c r="F27" s="30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05">
        <f t="shared" si="0"/>
        <v>0</v>
      </c>
      <c r="F28" s="30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411</v>
      </c>
      <c r="C29" s="117"/>
      <c r="D29" s="111">
        <v>21</v>
      </c>
      <c r="E29" s="305">
        <f t="shared" si="0"/>
        <v>0</v>
      </c>
      <c r="F29" s="30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05">
        <f t="shared" si="0"/>
        <v>0</v>
      </c>
      <c r="F30" s="30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05">
        <f t="shared" si="0"/>
        <v>1</v>
      </c>
      <c r="F31" s="30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/>
    </row>
    <row r="32" spans="2:30" ht="15">
      <c r="B32" s="121" t="s">
        <v>414</v>
      </c>
      <c r="C32" s="117"/>
      <c r="D32" s="111">
        <v>24</v>
      </c>
      <c r="E32" s="305">
        <f t="shared" si="0"/>
        <v>1</v>
      </c>
      <c r="F32" s="30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/>
    </row>
    <row r="33" spans="2:30" ht="15.75" thickBot="1">
      <c r="B33" s="122" t="s">
        <v>415</v>
      </c>
      <c r="C33" s="123"/>
      <c r="D33" s="124">
        <v>25</v>
      </c>
      <c r="E33" s="306">
        <f t="shared" si="0"/>
        <v>0</v>
      </c>
      <c r="F33" s="30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06" zoomScale="80" zoomScaleNormal="80" workbookViewId="0">
      <selection activeCell="B141" sqref="B141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348</v>
      </c>
      <c r="B1" s="213">
        <v>42173</v>
      </c>
      <c r="D1" s="131" t="s">
        <v>457</v>
      </c>
      <c r="F1" s="214" t="s">
        <v>547</v>
      </c>
      <c r="N1" s="215"/>
    </row>
    <row r="2" spans="1:14" ht="25.5">
      <c r="A2" s="216" t="s">
        <v>271</v>
      </c>
      <c r="B2" s="217" t="s">
        <v>146</v>
      </c>
      <c r="C2" s="218" t="s">
        <v>148</v>
      </c>
      <c r="D2" s="219" t="s">
        <v>149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70</v>
      </c>
      <c r="J2" s="220" t="s">
        <v>150</v>
      </c>
      <c r="K2" s="220" t="s">
        <v>151</v>
      </c>
      <c r="L2" s="220" t="s">
        <v>152</v>
      </c>
      <c r="M2" s="222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153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154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155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156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157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158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159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160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161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162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654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163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164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165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166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167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168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169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170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171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172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173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174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175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176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177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178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179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180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181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182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183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184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185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186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187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188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189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190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191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192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193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194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195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196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197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198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199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200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201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202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203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204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205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206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207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208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209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210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211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212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213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214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215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216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217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218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219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220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221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222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223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224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225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226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227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228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229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230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231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232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233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234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235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236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237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238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239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240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241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242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243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245</v>
      </c>
      <c r="B95" s="128" t="s">
        <v>50</v>
      </c>
      <c r="C95" s="128" t="s">
        <v>317</v>
      </c>
      <c r="D95" s="232" t="s">
        <v>272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245</v>
      </c>
      <c r="B96" s="128" t="s">
        <v>55</v>
      </c>
      <c r="C96" s="128" t="s">
        <v>322</v>
      </c>
      <c r="D96" s="232" t="s">
        <v>272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245</v>
      </c>
      <c r="B97" s="128" t="s">
        <v>60</v>
      </c>
      <c r="C97" s="128" t="s">
        <v>327</v>
      </c>
      <c r="D97" s="232" t="s">
        <v>272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245</v>
      </c>
      <c r="B98" s="128" t="s">
        <v>65</v>
      </c>
      <c r="C98" s="128" t="s">
        <v>332</v>
      </c>
      <c r="D98" s="232" t="s">
        <v>272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245</v>
      </c>
      <c r="B99" s="128" t="s">
        <v>18</v>
      </c>
      <c r="C99" s="128" t="s">
        <v>285</v>
      </c>
      <c r="D99" s="232" t="s">
        <v>272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245</v>
      </c>
      <c r="B100" s="128" t="s">
        <v>22</v>
      </c>
      <c r="C100" s="128" t="s">
        <v>289</v>
      </c>
      <c r="D100" s="232" t="s">
        <v>272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245</v>
      </c>
      <c r="B101" s="128" t="s">
        <v>26</v>
      </c>
      <c r="C101" s="128" t="s">
        <v>293</v>
      </c>
      <c r="D101" s="232" t="s">
        <v>272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245</v>
      </c>
      <c r="B102" s="128" t="s">
        <v>30</v>
      </c>
      <c r="C102" s="128" t="s">
        <v>297</v>
      </c>
      <c r="D102" s="232" t="s">
        <v>272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245</v>
      </c>
      <c r="B103" s="128" t="s">
        <v>34</v>
      </c>
      <c r="C103" s="128" t="s">
        <v>301</v>
      </c>
      <c r="D103" s="232" t="s">
        <v>272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245</v>
      </c>
      <c r="B104" s="128" t="s">
        <v>38</v>
      </c>
      <c r="C104" s="128" t="s">
        <v>305</v>
      </c>
      <c r="D104" s="232" t="s">
        <v>272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245</v>
      </c>
      <c r="B105" s="128" t="s">
        <v>42</v>
      </c>
      <c r="C105" s="128" t="s">
        <v>309</v>
      </c>
      <c r="D105" s="232" t="s">
        <v>272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245</v>
      </c>
      <c r="B106" s="128" t="s">
        <v>46</v>
      </c>
      <c r="C106" s="128" t="s">
        <v>313</v>
      </c>
      <c r="D106" s="232" t="s">
        <v>272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245</v>
      </c>
      <c r="B107" s="128" t="s">
        <v>51</v>
      </c>
      <c r="C107" s="128" t="s">
        <v>318</v>
      </c>
      <c r="D107" s="232" t="s">
        <v>272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245</v>
      </c>
      <c r="B108" s="128" t="s">
        <v>56</v>
      </c>
      <c r="C108" s="128" t="s">
        <v>323</v>
      </c>
      <c r="D108" s="232" t="s">
        <v>272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245</v>
      </c>
      <c r="B109" s="128" t="s">
        <v>61</v>
      </c>
      <c r="C109" s="128" t="s">
        <v>328</v>
      </c>
      <c r="D109" s="232" t="s">
        <v>272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245</v>
      </c>
      <c r="B110" s="128" t="s">
        <v>66</v>
      </c>
      <c r="C110" s="128" t="s">
        <v>333</v>
      </c>
      <c r="D110" s="232" t="s">
        <v>272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245</v>
      </c>
      <c r="B111" s="128" t="s">
        <v>6</v>
      </c>
      <c r="C111" s="128" t="s">
        <v>273</v>
      </c>
      <c r="D111" s="232" t="s">
        <v>272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245</v>
      </c>
      <c r="B112" s="128" t="s">
        <v>7</v>
      </c>
      <c r="C112" s="128" t="s">
        <v>274</v>
      </c>
      <c r="D112" s="232" t="s">
        <v>272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245</v>
      </c>
      <c r="B113" s="128" t="s">
        <v>8</v>
      </c>
      <c r="C113" s="128" t="s">
        <v>275</v>
      </c>
      <c r="D113" s="232" t="s">
        <v>272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245</v>
      </c>
      <c r="B114" s="128" t="s">
        <v>9</v>
      </c>
      <c r="C114" s="128" t="s">
        <v>276</v>
      </c>
      <c r="D114" s="232" t="s">
        <v>272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245</v>
      </c>
      <c r="B115" s="128" t="s">
        <v>19</v>
      </c>
      <c r="C115" s="128" t="s">
        <v>286</v>
      </c>
      <c r="D115" s="232" t="s">
        <v>272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245</v>
      </c>
      <c r="B116" s="128" t="s">
        <v>23</v>
      </c>
      <c r="C116" s="128" t="s">
        <v>290</v>
      </c>
      <c r="D116" s="232" t="s">
        <v>272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245</v>
      </c>
      <c r="B117" s="128" t="s">
        <v>27</v>
      </c>
      <c r="C117" s="128" t="s">
        <v>294</v>
      </c>
      <c r="D117" s="232" t="s">
        <v>272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245</v>
      </c>
      <c r="B118" s="128" t="s">
        <v>31</v>
      </c>
      <c r="C118" s="128" t="s">
        <v>298</v>
      </c>
      <c r="D118" s="232" t="s">
        <v>272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245</v>
      </c>
      <c r="B119" s="128" t="s">
        <v>10</v>
      </c>
      <c r="C119" s="128" t="s">
        <v>277</v>
      </c>
      <c r="D119" s="232" t="s">
        <v>272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245</v>
      </c>
      <c r="B120" s="128" t="s">
        <v>12</v>
      </c>
      <c r="C120" s="128" t="s">
        <v>279</v>
      </c>
      <c r="D120" s="232" t="s">
        <v>272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245</v>
      </c>
      <c r="B121" s="128" t="s">
        <v>14</v>
      </c>
      <c r="C121" s="128" t="s">
        <v>281</v>
      </c>
      <c r="D121" s="232" t="s">
        <v>272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245</v>
      </c>
      <c r="B122" s="128" t="s">
        <v>16</v>
      </c>
      <c r="C122" s="128" t="s">
        <v>283</v>
      </c>
      <c r="D122" s="232" t="s">
        <v>272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245</v>
      </c>
      <c r="B123" s="128" t="s">
        <v>52</v>
      </c>
      <c r="C123" s="128" t="s">
        <v>319</v>
      </c>
      <c r="D123" s="232" t="s">
        <v>272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245</v>
      </c>
      <c r="B124" s="128" t="s">
        <v>57</v>
      </c>
      <c r="C124" s="128" t="s">
        <v>324</v>
      </c>
      <c r="D124" s="232" t="s">
        <v>272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245</v>
      </c>
      <c r="B125" s="128" t="s">
        <v>62</v>
      </c>
      <c r="C125" s="128" t="s">
        <v>329</v>
      </c>
      <c r="D125" s="232" t="s">
        <v>272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245</v>
      </c>
      <c r="B126" s="128" t="s">
        <v>67</v>
      </c>
      <c r="C126" s="128" t="s">
        <v>334</v>
      </c>
      <c r="D126" s="232" t="s">
        <v>272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245</v>
      </c>
      <c r="B127" s="128" t="s">
        <v>20</v>
      </c>
      <c r="C127" s="128" t="s">
        <v>287</v>
      </c>
      <c r="D127" s="232" t="s">
        <v>272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245</v>
      </c>
      <c r="B128" s="128" t="s">
        <v>24</v>
      </c>
      <c r="C128" s="128" t="s">
        <v>291</v>
      </c>
      <c r="D128" s="232" t="s">
        <v>272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245</v>
      </c>
      <c r="B129" s="128" t="s">
        <v>28</v>
      </c>
      <c r="C129" s="128" t="s">
        <v>295</v>
      </c>
      <c r="D129" s="232" t="s">
        <v>272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245</v>
      </c>
      <c r="B130" s="128" t="s">
        <v>32</v>
      </c>
      <c r="C130" s="128" t="s">
        <v>299</v>
      </c>
      <c r="D130" s="232" t="s">
        <v>272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245</v>
      </c>
      <c r="B131" s="128" t="s">
        <v>21</v>
      </c>
      <c r="C131" s="128" t="s">
        <v>288</v>
      </c>
      <c r="D131" s="232" t="s">
        <v>272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245</v>
      </c>
      <c r="B132" s="128" t="s">
        <v>25</v>
      </c>
      <c r="C132" s="128" t="s">
        <v>292</v>
      </c>
      <c r="D132" s="232" t="s">
        <v>272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245</v>
      </c>
      <c r="B133" s="128" t="s">
        <v>29</v>
      </c>
      <c r="C133" s="128" t="s">
        <v>296</v>
      </c>
      <c r="D133" s="232" t="s">
        <v>272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245</v>
      </c>
      <c r="B134" s="128" t="s">
        <v>33</v>
      </c>
      <c r="C134" s="128" t="s">
        <v>300</v>
      </c>
      <c r="D134" s="232" t="s">
        <v>272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245</v>
      </c>
      <c r="B135" s="128" t="s">
        <v>35</v>
      </c>
      <c r="C135" s="128" t="s">
        <v>302</v>
      </c>
      <c r="D135" s="232" t="s">
        <v>272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245</v>
      </c>
      <c r="B136" s="128" t="s">
        <v>39</v>
      </c>
      <c r="C136" s="128" t="s">
        <v>306</v>
      </c>
      <c r="D136" s="232" t="s">
        <v>272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245</v>
      </c>
      <c r="B137" s="128" t="s">
        <v>43</v>
      </c>
      <c r="C137" s="128" t="s">
        <v>310</v>
      </c>
      <c r="D137" s="232" t="s">
        <v>272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245</v>
      </c>
      <c r="B138" s="128" t="s">
        <v>47</v>
      </c>
      <c r="C138" s="128" t="s">
        <v>314</v>
      </c>
      <c r="D138" s="232" t="s">
        <v>272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245</v>
      </c>
      <c r="B139" s="128" t="s">
        <v>36</v>
      </c>
      <c r="C139" s="128" t="s">
        <v>303</v>
      </c>
      <c r="D139" s="232" t="s">
        <v>272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245</v>
      </c>
      <c r="B140" s="128" t="s">
        <v>40</v>
      </c>
      <c r="C140" s="128" t="s">
        <v>307</v>
      </c>
      <c r="D140" s="232" t="s">
        <v>272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245</v>
      </c>
      <c r="B141" s="128" t="s">
        <v>44</v>
      </c>
      <c r="C141" s="128" t="s">
        <v>311</v>
      </c>
      <c r="D141" s="232" t="s">
        <v>272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245</v>
      </c>
      <c r="B142" s="128" t="s">
        <v>48</v>
      </c>
      <c r="C142" s="128" t="s">
        <v>315</v>
      </c>
      <c r="D142" s="232" t="s">
        <v>272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245</v>
      </c>
      <c r="B143" s="128" t="s">
        <v>11</v>
      </c>
      <c r="C143" s="128" t="s">
        <v>278</v>
      </c>
      <c r="D143" s="232" t="s">
        <v>272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245</v>
      </c>
      <c r="B144" s="128" t="s">
        <v>13</v>
      </c>
      <c r="C144" s="128" t="s">
        <v>280</v>
      </c>
      <c r="D144" s="232" t="s">
        <v>272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245</v>
      </c>
      <c r="B145" s="128" t="s">
        <v>15</v>
      </c>
      <c r="C145" s="128" t="s">
        <v>282</v>
      </c>
      <c r="D145" s="232" t="s">
        <v>272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245</v>
      </c>
      <c r="B146" s="128" t="s">
        <v>17</v>
      </c>
      <c r="C146" s="128" t="s">
        <v>284</v>
      </c>
      <c r="D146" s="232" t="s">
        <v>272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245</v>
      </c>
      <c r="B147" s="128" t="s">
        <v>37</v>
      </c>
      <c r="C147" s="128" t="s">
        <v>304</v>
      </c>
      <c r="D147" s="232" t="s">
        <v>272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245</v>
      </c>
      <c r="B148" s="128" t="s">
        <v>41</v>
      </c>
      <c r="C148" s="128" t="s">
        <v>308</v>
      </c>
      <c r="D148" s="232" t="s">
        <v>272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245</v>
      </c>
      <c r="B149" s="128" t="s">
        <v>45</v>
      </c>
      <c r="C149" s="128" t="s">
        <v>312</v>
      </c>
      <c r="D149" s="232" t="s">
        <v>272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245</v>
      </c>
      <c r="B150" s="128" t="s">
        <v>49</v>
      </c>
      <c r="C150" s="128" t="s">
        <v>316</v>
      </c>
      <c r="D150" s="232" t="s">
        <v>272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245</v>
      </c>
      <c r="B151" s="128" t="s">
        <v>53</v>
      </c>
      <c r="C151" s="128" t="s">
        <v>320</v>
      </c>
      <c r="D151" s="232" t="s">
        <v>272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245</v>
      </c>
      <c r="B152" s="128" t="s">
        <v>58</v>
      </c>
      <c r="C152" s="128" t="s">
        <v>325</v>
      </c>
      <c r="D152" s="232" t="s">
        <v>272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245</v>
      </c>
      <c r="B153" s="128" t="s">
        <v>63</v>
      </c>
      <c r="C153" s="128" t="s">
        <v>330</v>
      </c>
      <c r="D153" s="232" t="s">
        <v>272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245</v>
      </c>
      <c r="B154" s="128" t="s">
        <v>68</v>
      </c>
      <c r="C154" s="128" t="s">
        <v>335</v>
      </c>
      <c r="D154" s="232" t="s">
        <v>272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245</v>
      </c>
      <c r="B155" s="128" t="s">
        <v>54</v>
      </c>
      <c r="C155" s="128" t="s">
        <v>321</v>
      </c>
      <c r="D155" s="232" t="s">
        <v>272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245</v>
      </c>
      <c r="B156" s="128" t="s">
        <v>59</v>
      </c>
      <c r="C156" s="128" t="s">
        <v>326</v>
      </c>
      <c r="D156" s="232" t="s">
        <v>272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245</v>
      </c>
      <c r="B157" s="128" t="s">
        <v>64</v>
      </c>
      <c r="C157" s="128" t="s">
        <v>331</v>
      </c>
      <c r="D157" s="232" t="s">
        <v>272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245</v>
      </c>
      <c r="B158" s="128" t="s">
        <v>69</v>
      </c>
      <c r="C158" s="128" t="s">
        <v>336</v>
      </c>
      <c r="D158" s="232" t="s">
        <v>272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458</v>
      </c>
      <c r="B1" s="128"/>
      <c r="D1" s="214" t="s">
        <v>547</v>
      </c>
    </row>
    <row r="2" spans="1:16">
      <c r="A2" s="234"/>
      <c r="B2" s="233" t="s">
        <v>459</v>
      </c>
    </row>
    <row r="3" spans="1:16" ht="20.100000000000001" customHeight="1">
      <c r="A3" s="351" t="s">
        <v>248</v>
      </c>
      <c r="B3" s="235" t="s">
        <v>86</v>
      </c>
      <c r="C3" s="236"/>
      <c r="D3" s="353" t="s">
        <v>460</v>
      </c>
      <c r="E3" s="354"/>
      <c r="F3" s="354"/>
      <c r="G3" s="354"/>
      <c r="H3" s="354"/>
      <c r="I3" s="354"/>
      <c r="J3" s="355"/>
      <c r="K3" s="237"/>
      <c r="L3" s="237"/>
      <c r="M3" s="237"/>
      <c r="N3" s="237"/>
      <c r="O3" s="238"/>
      <c r="P3" s="237"/>
    </row>
    <row r="4" spans="1:16" ht="20.100000000000001" customHeight="1">
      <c r="A4" s="352"/>
      <c r="B4" s="239"/>
      <c r="C4" s="240"/>
      <c r="D4" s="241" t="s">
        <v>87</v>
      </c>
      <c r="E4" s="241" t="s">
        <v>88</v>
      </c>
      <c r="F4" s="241" t="s">
        <v>89</v>
      </c>
      <c r="G4" s="241" t="s">
        <v>90</v>
      </c>
      <c r="H4" s="241" t="s">
        <v>91</v>
      </c>
      <c r="I4" s="241" t="s">
        <v>92</v>
      </c>
      <c r="J4" s="241" t="s">
        <v>93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94</v>
      </c>
      <c r="C5" s="240"/>
      <c r="D5" s="241" t="s">
        <v>95</v>
      </c>
      <c r="E5" s="241" t="s">
        <v>96</v>
      </c>
      <c r="F5" s="241" t="s">
        <v>97</v>
      </c>
      <c r="G5" s="241" t="s">
        <v>98</v>
      </c>
      <c r="H5" s="241" t="s">
        <v>99</v>
      </c>
      <c r="I5" s="241" t="s">
        <v>100</v>
      </c>
      <c r="J5" s="241" t="s">
        <v>101</v>
      </c>
      <c r="K5" s="241" t="s">
        <v>102</v>
      </c>
      <c r="L5" s="242" t="s">
        <v>103</v>
      </c>
      <c r="M5" s="242" t="s">
        <v>104</v>
      </c>
      <c r="N5" s="244" t="s">
        <v>147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105</v>
      </c>
      <c r="C7" s="249" t="s">
        <v>106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102</v>
      </c>
      <c r="M7" s="251">
        <f t="shared" ref="M7:M21" si="0">MAX(D7:J7)</f>
        <v>1</v>
      </c>
      <c r="N7" s="252" t="s">
        <v>369</v>
      </c>
      <c r="O7" s="247"/>
      <c r="P7" s="241"/>
    </row>
    <row r="8" spans="1:16" ht="21" customHeight="1">
      <c r="A8" s="248">
        <v>2</v>
      </c>
      <c r="B8" s="241" t="s">
        <v>107</v>
      </c>
      <c r="C8" s="249" t="s">
        <v>108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102</v>
      </c>
      <c r="M8" s="251">
        <f t="shared" si="0"/>
        <v>1</v>
      </c>
      <c r="N8" s="252" t="s">
        <v>369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5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102</v>
      </c>
      <c r="M9" s="251">
        <f t="shared" ref="M9" si="1">MAX(D9:J9)</f>
        <v>1</v>
      </c>
      <c r="N9" s="252" t="s">
        <v>5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109</v>
      </c>
      <c r="C11" s="257" t="s">
        <v>110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96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111</v>
      </c>
      <c r="C12" s="257" t="s">
        <v>112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95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113</v>
      </c>
      <c r="C13" s="257" t="s">
        <v>114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95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115</v>
      </c>
      <c r="C14" s="257" t="s">
        <v>116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95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117</v>
      </c>
      <c r="C15" s="257" t="s">
        <v>118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96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123</v>
      </c>
      <c r="C16" s="257" t="s">
        <v>124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97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119</v>
      </c>
      <c r="C17" s="258" t="s">
        <v>120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100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117</v>
      </c>
    </row>
    <row r="18" spans="1:16" ht="21" customHeight="1">
      <c r="A18" s="248">
        <v>11</v>
      </c>
      <c r="B18" s="241" t="s">
        <v>121</v>
      </c>
      <c r="C18" s="258" t="s">
        <v>122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99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123</v>
      </c>
    </row>
    <row r="19" spans="1:16" ht="21" customHeight="1">
      <c r="A19" s="248">
        <v>12</v>
      </c>
      <c r="B19" s="241" t="s">
        <v>125</v>
      </c>
      <c r="C19" s="258" t="s">
        <v>126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98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109</v>
      </c>
    </row>
    <row r="20" spans="1:16" ht="21" customHeight="1">
      <c r="A20" s="248">
        <v>13</v>
      </c>
      <c r="B20" s="241" t="s">
        <v>127</v>
      </c>
      <c r="C20" s="258" t="s">
        <v>128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95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111</v>
      </c>
    </row>
    <row r="21" spans="1:16" ht="24.75" customHeight="1">
      <c r="A21" s="248">
        <v>14</v>
      </c>
      <c r="B21" s="241" t="s">
        <v>129</v>
      </c>
      <c r="C21" s="258" t="s">
        <v>130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96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117</v>
      </c>
    </row>
    <row r="22" spans="1:16" ht="25.5">
      <c r="A22" s="248">
        <v>15</v>
      </c>
      <c r="B22" s="241" t="s">
        <v>131</v>
      </c>
      <c r="C22" s="259" t="s">
        <v>132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96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Klahr, Simon - Vereinigte Stadtwerke Netz GmbH</cp:lastModifiedBy>
  <cp:lastPrinted>2015-03-20T22:59:10Z</cp:lastPrinted>
  <dcterms:created xsi:type="dcterms:W3CDTF">2015-01-15T05:25:41Z</dcterms:created>
  <dcterms:modified xsi:type="dcterms:W3CDTF">2016-11-18T09:49:09Z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SLP_Gas_Verfahrensspezifische_Parameter_Vereinigte SW Netz@01.10.2016.xlsx</vt:lpwstr>
  </property>
</Properties>
</file>