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13" i="7" l="1"/>
  <c r="H13" i="7"/>
  <c r="I13" i="7"/>
  <c r="Q13" i="7" s="1"/>
  <c r="J13" i="7"/>
  <c r="K13" i="7"/>
  <c r="L13" i="7"/>
  <c r="M13" i="7"/>
  <c r="N13" i="7"/>
  <c r="O13" i="7"/>
  <c r="P13" i="7"/>
  <c r="R13" i="7"/>
  <c r="S13" i="7"/>
  <c r="T13" i="7"/>
  <c r="U13" i="7"/>
  <c r="V13" i="7"/>
  <c r="W13" i="7"/>
  <c r="F14" i="7"/>
  <c r="H14" i="7"/>
  <c r="I14" i="7"/>
  <c r="J14" i="7"/>
  <c r="K14" i="7"/>
  <c r="L14" i="7"/>
  <c r="M14" i="7"/>
  <c r="N14" i="7"/>
  <c r="O14" i="7"/>
  <c r="P14" i="7"/>
  <c r="R14" i="7"/>
  <c r="S14" i="7"/>
  <c r="T14" i="7"/>
  <c r="U14" i="7"/>
  <c r="V14" i="7"/>
  <c r="W14" i="7"/>
  <c r="F15" i="7"/>
  <c r="H15" i="7"/>
  <c r="I15" i="7"/>
  <c r="J15" i="7"/>
  <c r="K15" i="7"/>
  <c r="L15" i="7"/>
  <c r="M15" i="7"/>
  <c r="N15" i="7"/>
  <c r="O15" i="7"/>
  <c r="Q15" i="7" s="1"/>
  <c r="P15" i="7"/>
  <c r="R15" i="7"/>
  <c r="S15" i="7"/>
  <c r="X15" i="7" s="1"/>
  <c r="T15" i="7"/>
  <c r="U15" i="7"/>
  <c r="V15" i="7"/>
  <c r="W15" i="7"/>
  <c r="F16" i="7"/>
  <c r="H16" i="7"/>
  <c r="I16" i="7"/>
  <c r="J16" i="7"/>
  <c r="K16" i="7"/>
  <c r="L16" i="7"/>
  <c r="M16" i="7"/>
  <c r="N16" i="7"/>
  <c r="O16" i="7"/>
  <c r="P16" i="7"/>
  <c r="R16" i="7"/>
  <c r="X16" i="7" s="1"/>
  <c r="S16" i="7"/>
  <c r="T16" i="7"/>
  <c r="U16" i="7"/>
  <c r="V16" i="7"/>
  <c r="W16" i="7"/>
  <c r="F17" i="7"/>
  <c r="H17" i="7"/>
  <c r="I17" i="7"/>
  <c r="J17" i="7"/>
  <c r="K17" i="7"/>
  <c r="L17" i="7"/>
  <c r="M17" i="7"/>
  <c r="N17" i="7"/>
  <c r="O17" i="7"/>
  <c r="P17" i="7"/>
  <c r="R17" i="7"/>
  <c r="S17" i="7"/>
  <c r="T17" i="7"/>
  <c r="U17" i="7"/>
  <c r="V17" i="7"/>
  <c r="W17" i="7"/>
  <c r="F18" i="7"/>
  <c r="H18" i="7"/>
  <c r="I18" i="7"/>
  <c r="J18" i="7"/>
  <c r="K18" i="7"/>
  <c r="L18" i="7"/>
  <c r="M18" i="7"/>
  <c r="N18" i="7"/>
  <c r="O18" i="7"/>
  <c r="P18" i="7"/>
  <c r="R18" i="7"/>
  <c r="S18" i="7"/>
  <c r="T18" i="7"/>
  <c r="U18" i="7"/>
  <c r="V18" i="7"/>
  <c r="W18" i="7"/>
  <c r="F19" i="7"/>
  <c r="H19" i="7"/>
  <c r="I19" i="7"/>
  <c r="J19" i="7"/>
  <c r="K19" i="7"/>
  <c r="L19" i="7"/>
  <c r="M19" i="7"/>
  <c r="Q19" i="7" s="1"/>
  <c r="N19" i="7"/>
  <c r="O19" i="7"/>
  <c r="P19" i="7"/>
  <c r="R19" i="7"/>
  <c r="S19" i="7"/>
  <c r="T19" i="7"/>
  <c r="U19" i="7"/>
  <c r="V19" i="7"/>
  <c r="W19" i="7"/>
  <c r="F20" i="7"/>
  <c r="H20" i="7"/>
  <c r="I20" i="7"/>
  <c r="J20" i="7"/>
  <c r="K20" i="7"/>
  <c r="L20" i="7"/>
  <c r="M20" i="7"/>
  <c r="N20" i="7"/>
  <c r="O20" i="7"/>
  <c r="P20" i="7"/>
  <c r="R20" i="7"/>
  <c r="S20" i="7"/>
  <c r="T20" i="7"/>
  <c r="U20" i="7"/>
  <c r="V20" i="7"/>
  <c r="W20" i="7"/>
  <c r="F21" i="7"/>
  <c r="H21" i="7"/>
  <c r="I21" i="7"/>
  <c r="J21" i="7"/>
  <c r="K21" i="7"/>
  <c r="L21" i="7"/>
  <c r="M21" i="7"/>
  <c r="N21" i="7"/>
  <c r="O21" i="7"/>
  <c r="P21" i="7"/>
  <c r="R21" i="7"/>
  <c r="S21" i="7"/>
  <c r="T21" i="7"/>
  <c r="U21" i="7"/>
  <c r="V21" i="7"/>
  <c r="W21" i="7"/>
  <c r="Q21" i="7" l="1"/>
  <c r="X21" i="7"/>
  <c r="X20" i="7"/>
  <c r="Q20" i="7"/>
  <c r="X19" i="7"/>
  <c r="X18" i="7"/>
  <c r="Q18" i="7"/>
  <c r="X17" i="7"/>
  <c r="Q17" i="7"/>
  <c r="Q16" i="7"/>
  <c r="X14" i="7"/>
  <c r="Q14" i="7"/>
  <c r="X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S12" i="7"/>
  <c r="T12" i="7"/>
  <c r="U12" i="7"/>
  <c r="V12" i="7"/>
  <c r="W12" i="7"/>
  <c r="R12" i="7"/>
  <c r="E65" i="18" l="1"/>
  <c r="X12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Q12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<sst xmlns="http://schemas.openxmlformats.org/spreadsheetml/2006/main" count="1366" uniqueCount="676">
  <si>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</si>
  <si>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</si>
  <si>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</si>
  <si>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</si>
  <si>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</si>
  <si>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</si>
  <si>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</si>
  <si>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</si>
  <si>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</si>
  <si>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</si>
  <si>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</si>
  <si>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</si>
  <si>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</si>
  <si>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</si>
  <si>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</si>
  <si>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</si>
  <si>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</si>
  <si>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</si>
  <si>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</si>
  <si>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</si>
  <si>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</si>
  <si>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</si>
  <si>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</si>
  <si>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</si>
  <si>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</si>
  <si>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</si>
  <si>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</si>
  <si>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</si>
  <si>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</si>
  <si>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</si>
  <si>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</si>
  <si>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</si>
  <si>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</si>
  <si>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</si>
  <si>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</si>
  <si>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</si>
  <si>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</si>
  <si>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</si>
  <si>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</si>
  <si>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</si>
  <si>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</si>
  <si>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</si>
  <si>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</si>
  <si>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</si>
  <si>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</si>
  <si>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</si>
  <si>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</si>
  <si>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</si>
  <si>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</si>
  <si>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</si>
  <si>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</si>
  <si>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</si>
  <si>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</si>
  <si>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</si>
  <si>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</si>
  <si>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</si>
  <si>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</si>
  <si>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</si>
  <si>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</si>
  <si>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</si>
  <si>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</si>
  <si>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</si>
  <si>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</si>
  <si>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</si>
  <si>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</si>
  <si>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</si>
  <si>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</si>
  <si>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</si>
  <si>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</si>
  <si>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</si>
  <si>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</si>
  <si>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</si>
  <si>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</si>
  <si>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</si>
  <si>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</si>
  <si>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</si>
  <si>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</si>
  <si>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</si>
  <si>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</si>
  <si>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</si>
  <si>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</si>
  <si>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</si>
  <si>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</si>
  <si>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</si>
  <si>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</si>
  <si>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</si>
  <si>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</si>
  <si>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</si>
  <si>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</si>
  <si>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</si>
  <si>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</si>
  <si>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</si>
  <si>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</si>
  <si>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</si>
  <si>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</si>
  <si>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</si>
  <si>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</si>
  <si>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</si>
  <si>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</si>
  <si>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</si>
  <si>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</si>
  <si>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</si>
  <si>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</si>
  <si>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</si>
  <si>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</si>
  <si>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</si>
  <si>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</si>
  <si>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</si>
  <si>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</si>
  <si>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</si>
  <si>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</si>
  <si>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</si>
  <si>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</si>
  <si>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</si>
  <si>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</si>
  <si>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</si>
  <si>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</si>
  <si>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</si>
  <si>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</si>
  <si>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</si>
  <si>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</si>
  <si>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</si>
  <si>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</si>
  <si>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</si>
  <si>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</si>
  <si>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</si>
  <si>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</si>
  <si>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</si>
  <si>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</si>
  <si>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</si>
  <si>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</si>
  <si>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</si>
  <si>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</si>
  <si>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</si>
  <si>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</si>
  <si>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</si>
  <si>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</si>
  <si>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</si>
  <si>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</si>
  <si>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</si>
  <si>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</si>
  <si>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</si>
  <si>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</si>
  <si>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</si>
  <si>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</si>
  <si>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</si>
  <si>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</si>
  <si>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</si>
  <si>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</si>
  <si>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</si>
  <si>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</si>
  <si>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</si>
  <si>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</si>
  <si>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</si>
  <si>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</si>
  <si>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</si>
  <si>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</si>
  <si>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</si>
  <si>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</si>
  <si>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</si>
  <si>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</si>
  <si>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</si>
  <si>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</si>
  <si>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</si>
  <si>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</si>
  <si>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</si>
  <si>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</si>
  <si>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</si>
  <si>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</si>
  <si>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</si>
  <si>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</si>
  <si>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</si>
  <si>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</si>
  <si>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</si>
  <si>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</si>
  <si>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</si>
  <si>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</si>
  <si>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</si>
  <si>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</si>
  <si>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</si>
  <si>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</si>
  <si>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</si>
  <si>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</si>
  <si>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</si>
  <si>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</si>
  <si>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</si>
  <si>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</si>
  <si>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</si>
  <si>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</si>
  <si>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</si>
  <si>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</si>
  <si>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</si>
  <si>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</si>
  <si>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</si>
  <si>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</si>
  <si>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</si>
  <si>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</si>
  <si>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</si>
  <si>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</si>
  <si>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</si>
  <si>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</si>
  <si>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</si>
  <si>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</si>
  <si>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</si>
  <si>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</si>
  <si>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</si>
  <si>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</si>
  <si>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</si>
  <si>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</si>
  <si>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</si>
  <si>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</si>
  <si>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</si>
  <si>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</si>
  <si>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</si>
  <si>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</si>
  <si>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</si>
  <si>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</si>
  <si>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</si>
  <si>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</si>
  <si>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</si>
  <si>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</si>
  <si>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</si>
  <si>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</si>
  <si>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</si>
  <si>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</si>
  <si>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</si>
  <si>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</si>
  <si>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</si>
  <si>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</si>
  <si>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</si>
  <si>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</si>
  <si>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</si>
  <si>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</si>
  <si>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</si>
  <si>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</si>
  <si>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</si>
  <si>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</si>
  <si>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</si>
  <si>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</si>
  <si>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</si>
  <si>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</si>
  <si>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</si>
  <si>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</si>
  <si>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</si>
  <si>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</si>
  <si>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</si>
  <si>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</si>
  <si>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</si>
  <si>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</si>
  <si>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</si>
  <si>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</si>
  <si>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</si>
  <si>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</si>
  <si>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</si>
  <si>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</si>
  <si>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</si>
  <si>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</si>
  <si>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</si>
  <si>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</si>
  <si>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</si>
  <si>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</si>
  <si>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</si>
  <si>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</si>
  <si>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</si>
  <si>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</si>
  <si>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</si>
  <si>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</si>
  <si>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</si>
  <si>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</si>
  <si>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</si>
  <si>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</si>
  <si>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</si>
  <si>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</si>
  <si>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</si>
  <si>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</si>
  <si>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</si>
  <si>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</si>
  <si>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</si>
  <si>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</si>
  <si>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</si>
  <si>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</si>
  <si>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</si>
  <si>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</si>
  <si>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</si>
  <si>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</si>
  <si>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</si>
  <si>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</si>
  <si>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</si>
  <si>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</si>
  <si>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</si>
  <si>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</si>
  <si>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</si>
  <si>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</si>
  <si>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</si>
  <si>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</si>
  <si>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</si>
  <si>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</si>
  <si>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</si>
  <si>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</si>
  <si>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</si>
  <si>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</si>
  <si>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</si>
  <si>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</si>
  <si>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</si>
  <si>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</si>
  <si>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</si>
  <si>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</si>
  <si>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</si>
  <si>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</si>
  <si>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</si>
  <si>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</si>
  <si>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</si>
  <si>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</si>
  <si>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</si>
  <si>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</si>
  <si>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</si>
  <si>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</si>
  <si>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</si>
  <si>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</si>
  <si>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</si>
  <si>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</si>
  <si>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</si>
  <si>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</si>
  <si>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</si>
  <si>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</si>
  <si>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</si>
  <si>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</si>
  <si>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</si>
  <si>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</si>
  <si>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</si>
  <si>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</si>
  <si>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</si>
  <si>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</si>
  <si>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</si>
  <si>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</si>
  <si>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</si>
  <si>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</si>
  <si>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</si>
  <si>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</si>
  <si>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</si>
  <si>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</si>
  <si>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</si>
  <si>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</si>
  <si>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</si>
  <si>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</si>
  <si>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</si>
  <si>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</si>
  <si>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</si>
  <si>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</si>
  <si>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</si>
  <si>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</si>
  <si>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</si>
  <si>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</si>
  <si>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</si>
  <si>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</si>
  <si>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</si>
  <si>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</si>
  <si>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</si>
  <si>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</si>
  <si>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</si>
  <si>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</si>
  <si>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</si>
  <si>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</si>
  <si>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</si>
  <si>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</si>
  <si>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</si>
  <si>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</si>
  <si>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</si>
  <si>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</si>
  <si>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</si>
  <si>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</si>
  <si>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</si>
  <si>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</si>
  <si>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</si>
  <si>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</si>
  <si>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</si>
  <si>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</si>
  <si>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</si>
  <si>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</si>
  <si>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</si>
  <si>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</si>
  <si>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</si>
  <si>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</si>
  <si>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</si>
  <si>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</si>
  <si>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</si>
  <si>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</si>
  <si>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</si>
  <si>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</si>
  <si>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</si>
  <si>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</si>
  <si>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</si>
  <si>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</si>
  <si>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</si>
  <si>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</si>
  <si>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</si>
  <si>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</si>
  <si>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</si>
  <si>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</si>
  <si>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</si>
  <si>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</si>
  <si>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</si>
  <si>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</si>
  <si>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</si>
  <si>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</si>
  <si>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</si>
  <si>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</si>
  <si>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</si>
  <si>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</si>
  <si>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</si>
  <si>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</si>
  <si>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</si>
  <si>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</si>
  <si>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</si>
  <si>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</si>
  <si>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</si>
  <si>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</si>
  <si>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</si>
  <si>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</si>
  <si>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</si>
  <si>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</si>
  <si>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</si>
  <si>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</si>
  <si>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</si>
  <si>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</si>
  <si>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</si>
  <si>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</si>
  <si>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</si>
  <si>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</si>
  <si>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</si>
  <si>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</si>
  <si>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</si>
  <si>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</si>
  <si>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</si>
  <si>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</si>
  <si>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</si>
  <si>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</si>
  <si>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</si>
  <si>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</si>
  <si>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</si>
  <si>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</si>
  <si>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</si>
  <si>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</si>
  <si>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</si>
  <si>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</si>
  <si>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</si>
  <si>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</si>
  <si>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</si>
  <si>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</si>
  <si>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</si>
  <si>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</si>
  <si>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</si>
  <si>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</si>
  <si>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</si>
  <si>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</si>
  <si>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</si>
  <si>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</si>
  <si>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</si>
  <si>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</si>
  <si>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</si>
  <si>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</si>
  <si>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</si>
  <si>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</si>
  <si>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</si>
  <si>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</si>
  <si>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</si>
  <si>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</si>
  <si>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</si>
  <si>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</si>
  <si>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</si>
  <si>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</si>
  <si>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</si>
  <si>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</si>
  <si>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</si>
  <si>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</si>
  <si>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</si>
  <si>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</si>
  <si>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</si>
  <si>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</si>
  <si>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</si>
  <si>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</si>
  <si>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</si>
  <si>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</si>
  <si>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</si>
  <si>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</si>
  <si>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</si>
  <si>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</si>
  <si>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</si>
  <si>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</si>
  <si>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</si>
  <si>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</si>
  <si>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</si>
  <si>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</si>
  <si>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</si>
  <si>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</si>
  <si>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</si>
  <si>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</si>
  <si>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</si>
  <si>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</si>
  <si>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</si>
  <si>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</si>
  <si>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</si>
  <si>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</si>
  <si>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</si>
  <si>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</si>
  <si>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</si>
  <si>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</si>
  <si>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</si>
  <si>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</si>
  <si>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</si>
  <si>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</si>
  <si>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</si>
  <si>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</si>
  <si>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</si>
  <si>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</si>
  <si>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</si>
  <si>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</si>
  <si>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</si>
  <si>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</si>
  <si>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</si>
  <si>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</si>
  <si>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</si>
  <si>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</si>
  <si>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</si>
  <si>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</si>
  <si>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</si>
  <si>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</si>
  <si>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</si>
  <si>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</si>
  <si>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</si>
  <si>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</si>
  <si>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</si>
  <si>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</si>
  <si>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</si>
  <si>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</si>
  <si>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</si>
  <si>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</si>
  <si>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</si>
  <si>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</si>
  <si>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</si>
  <si>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</si>
  <si>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</si>
  <si>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</si>
  <si>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</si>
  <si>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</si>
  <si>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</si>
  <si>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</si>
  <si>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</si>
  <si>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</si>
  <si>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</si>
  <si>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</si>
  <si>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</si>
  <si>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</si>
  <si>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</si>
  <si>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</si>
  <si>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</si>
  <si>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</si>
  <si>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</si>
  <si>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</si>
  <si>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</si>
  <si>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</si>
  <si>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</si>
  <si>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</si>
  <si>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</si>
  <si>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</si>
  <si>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</si>
  <si>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</si>
  <si>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</si>
  <si>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</si>
  <si>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</si>
  <si>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</si>
  <si>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</si>
  <si>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</si>
  <si>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</si>
  <si>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</si>
  <si>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</si>
  <si>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</si>
  <si>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</si>
  <si>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</si>
  <si>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</si>
  <si>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</si>
  <si>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</si>
  <si>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</si>
  <si>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</si>
  <si>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</si>
  <si>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</si>
  <si>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</si>
  <si>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</si>
  <si>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</si>
  <si>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</si>
  <si>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</si>
  <si>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</si>
  <si>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</si>
  <si>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</si>
  <si>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</si>
  <si>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</si>
  <si>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</si>
  <si>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</si>
  <si>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</si>
  <si>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</si>
  <si>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</si>
  <si>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</si>
  <si>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</si>
  <si>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</si>
  <si>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</si>
  <si>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</si>
  <si>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</si>
  <si>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</si>
  <si>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</si>
  <si>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</si>
  <si>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</si>
  <si>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</si>
  <si>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</si>
  <si>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</si>
  <si>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</si>
  <si>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</si>
  <si>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</si>
  <si>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</si>
  <si>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</si>
  <si>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</si>
  <si>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</si>
  <si>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</si>
  <si>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</si>
  <si>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</si>
  <si>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</si>
  <si>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</si>
  <si>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</si>
  <si>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</si>
  <si>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</si>
  <si>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</si>
  <si>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</si>
  <si>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</si>
  <si>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</si>
  <si>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</si>
  <si>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</si>
  <si>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</si>
  <si>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</si>
  <si>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</si>
  <si>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</si>
  <si>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</si>
  <si>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</si>
  <si>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</si>
  <si>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</si>
  <si>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</si>
  <si>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</si>
  <si>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</si>
  <si>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</si>
  <si>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</si>
  <si>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</si>
  <si>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</si>
  <si>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</si>
  <si>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</si>
  <si>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</si>
  <si>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</si>
  <si>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</si>
  <si>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</si>
  <si>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</si>
  <si>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Vereinigte Stadtwerke Netz GmbH</t>
  </si>
  <si>
    <t>9870030300006</t>
  </si>
  <si>
    <t>Schweriner Straße 90</t>
  </si>
  <si>
    <t>Ratzeburg</t>
  </si>
  <si>
    <t>Max Gerweck, Simon Klahr</t>
  </si>
  <si>
    <t>04541-807-505 / 04541-807-802</t>
  </si>
  <si>
    <t>GASPOOLNH7003031</t>
  </si>
  <si>
    <t>Hamburg-Fuhlsbüttel</t>
  </si>
  <si>
    <t>HH-Fuhlsbüttel</t>
  </si>
  <si>
    <t>edm@vsg-netz.de</t>
  </si>
  <si>
    <t>DE_HEF33</t>
  </si>
  <si>
    <t>DE_HMF33</t>
  </si>
  <si>
    <t>DE_GHD33</t>
  </si>
  <si>
    <t>DE_GKO33</t>
  </si>
  <si>
    <t>DE_GMK33</t>
  </si>
  <si>
    <t>DE_GBH33</t>
  </si>
  <si>
    <t>DE_GBA33</t>
  </si>
  <si>
    <t>DE_GGA33</t>
  </si>
  <si>
    <t>DE_GMF33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</si>
</sst>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00"/>
    <numFmt numFmtId="168" formatCode="0.0%"/>
    <numFmt numFmtId="169" formatCode="#,##0.000"/>
    <numFmt numFmtId="170" formatCode="0.0"/>
    <numFmt numFmtId="171" formatCode="0.000\ \ "/>
    <numFmt numFmtId="172" formatCode="0.0000\ \ "/>
    <numFmt numFmtId="173" formatCode="General&quot;.&quot;"/>
    <numFmt numFmtId="174" formatCode="_-* #,##0.00\ [$€]_-;\-* #,##0.00\ [$€]_-;_-* &quot;-&quot;??\ [$€]_-;_-@_-"/>
    <numFmt numFmtId="175" formatCode="#,#00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3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4" fontId="7" fillId="0" borderId="0" applyFont="0" applyFill="0" applyBorder="0" applyAlignment="0" applyProtection="0"/>
    <xf numFmtId="175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9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9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9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2" fontId="7" fillId="0" borderId="17" xfId="3" applyNumberFormat="1" applyFont="1" applyBorder="1" applyAlignment="1" applyProtection="1">
      <alignment vertical="center"/>
    </xf>
    <xf numFmtId="172" fontId="7" fillId="0" borderId="17" xfId="3" applyNumberFormat="1" applyFont="1" applyBorder="1" applyAlignment="1" applyProtection="1">
      <alignment horizontal="center" vertical="center"/>
    </xf>
    <xf numFmtId="171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2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9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9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9" fontId="0" fillId="74" borderId="54" xfId="0" applyNumberFormat="1" applyFont="1" applyFill="1" applyBorder="1" applyAlignment="1" applyProtection="1">
      <alignment horizontal="center" vertical="center"/>
    </xf>
    <xf numFmtId="169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70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E8" sqref="E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42692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23909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>
        <f>IF(D27&lt;&gt;C28,VLOOKUP(D27,$C$29:$D$48,2,FALSE),C28)</f>
        <v>700303</v>
      </c>
      <c r="E28" s="38"/>
      <c r="F28" s="11"/>
      <c r="G28" s="2"/>
    </row>
    <row r="29" spans="1:15">
      <c r="B29" s="15"/>
      <c r="C29" s="22" t="s">
        <v>397</v>
      </c>
      <c r="D29" s="45">
        <v>700303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Vereinigte Stadtwerke Netz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>
        <f>Netzbetreiber!D28</f>
        <v>700303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9870030300006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663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10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/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664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9" zoomScale="70" zoomScaleNormal="70" workbookViewId="0">
      <selection activeCell="H23" sqref="H2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Vereinigte Stadtwerke Netz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>
        <f>Netzbetreiber!D28</f>
        <v>700303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9870030300006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42736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Hamburg-Fuhlsbüttel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665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10147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HH-Fuhlsbüttel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10147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455</v>
      </c>
      <c r="F70" s="163" t="s">
        <v>455</v>
      </c>
      <c r="G70" s="163" t="s">
        <v>455</v>
      </c>
      <c r="H70" s="163" t="str">
        <f t="shared" ref="H70:N70" si="17">H36</f>
        <v>Temp.-Prog.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F36 E26:N26 E56:N60 E22:F22 I22:N22 F62 G24:N24 H70:N70 E32:N33 E69:N69 F25:N25 I34:N34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Vereinigte Stadtwerke Netz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>
        <f>Netzbetreiber!$D$28</f>
        <v>700303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9870030300006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42736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25" sqref="H2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Vereinigte Stadtwerke Netz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>
        <f>Netzbetreiber!$D$28</f>
        <v>700303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9870030300006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42736</v>
      </c>
      <c r="E8" s="130"/>
      <c r="F8" s="130"/>
      <c r="H8" s="128" t="s">
        <v>498</v>
      </c>
      <c r="J8" s="132">
        <f>COUNTA(D12:D100)</f>
        <v>10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>
        <f t="shared" ref="C12:C41" si="0">$D$6</f>
        <v>700303</v>
      </c>
      <c r="D12" s="62" t="s">
        <v>247</v>
      </c>
      <c r="E12" s="165" t="s">
        <v>667</v>
      </c>
      <c r="F12" s="297" t="str">
        <f>VLOOKUP($E12,'BDEW-Standard'!$B$3:$M$158,F$9,0)</f>
        <v>1D3</v>
      </c>
      <c r="H12" s="274">
        <f>ROUND(VLOOKUP($E12,'BDEW-Standard'!$B$3:$M$158,H$9,0),7)</f>
        <v>1.6209544</v>
      </c>
      <c r="I12" s="274">
        <f>ROUND(VLOOKUP($E12,'BDEW-Standard'!$B$3:$M$158,I$9,0),7)</f>
        <v>-37.183314099999997</v>
      </c>
      <c r="J12" s="274">
        <f>ROUND(VLOOKUP($E12,'BDEW-Standard'!$B$3:$M$158,J$9,0),7)</f>
        <v>5.6727847000000002</v>
      </c>
      <c r="K12" s="274">
        <f>ROUND(VLOOKUP($E12,'BDEW-Standard'!$B$3:$M$158,K$9,0),7)</f>
        <v>7.1643100000000001E-2</v>
      </c>
      <c r="L12" s="338">
        <f>ROUND(VLOOKUP($E12,'BDEW-Standard'!$B$3:$M$158,L$9,0),1)</f>
        <v>40</v>
      </c>
      <c r="M12" s="274">
        <f>ROUND(VLOOKUP($E12,'BDEW-Standard'!$B$3:$M$158,M$9,0),7)</f>
        <v>-4.9570000000000003E-2</v>
      </c>
      <c r="N12" s="274">
        <f>ROUND(VLOOKUP($E12,'BDEW-Standard'!$B$3:$M$158,N$9,0),7)</f>
        <v>0.84010149999999995</v>
      </c>
      <c r="O12" s="274">
        <f>ROUND(VLOOKUP($E12,'BDEW-Standard'!$B$3:$M$158,O$9,0),7)</f>
        <v>-2.209E-3</v>
      </c>
      <c r="P12" s="274">
        <f>ROUND(VLOOKUP($E12,'BDEW-Standard'!$B$3:$M$158,P$9,0),7)</f>
        <v>0.1074468</v>
      </c>
      <c r="Q12" s="339">
        <f t="shared" ref="Q12:Q21" si="1">($H12/(1+($I12/($Q$9-$L12))^$J12)+$K12)+MAX($M12*$Q$9+$N12,$O12*$Q$9+$P12)</f>
        <v>1.0000001417752751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>
        <f t="shared" si="0"/>
        <v>700303</v>
      </c>
      <c r="D13" s="62" t="s">
        <v>247</v>
      </c>
      <c r="E13" s="165" t="s">
        <v>668</v>
      </c>
      <c r="F13" s="297" t="str">
        <f>VLOOKUP($E13,'BDEW-Standard'!$B$3:$M$158,F$9,0)</f>
        <v>2D3</v>
      </c>
      <c r="H13" s="274">
        <f>ROUND(VLOOKUP($E13,'BDEW-Standard'!$B$3:$M$158,H$9,0),7)</f>
        <v>1.2328654999999999</v>
      </c>
      <c r="I13" s="274">
        <f>ROUND(VLOOKUP($E13,'BDEW-Standard'!$B$3:$M$158,I$9,0),7)</f>
        <v>-34.721360500000003</v>
      </c>
      <c r="J13" s="274">
        <f>ROUND(VLOOKUP($E13,'BDEW-Standard'!$B$3:$M$158,J$9,0),7)</f>
        <v>5.8164303999999998</v>
      </c>
      <c r="K13" s="274">
        <f>ROUND(VLOOKUP($E13,'BDEW-Standard'!$B$3:$M$158,K$9,0),7)</f>
        <v>8.7335200000000002E-2</v>
      </c>
      <c r="L13" s="338">
        <f>ROUND(VLOOKUP($E13,'BDEW-Standard'!$B$3:$M$158,L$9,0),7)</f>
        <v>40</v>
      </c>
      <c r="M13" s="274">
        <f>ROUND(VLOOKUP($E13,'BDEW-Standard'!$B$3:$M$158,M$9,0),7)</f>
        <v>-4.0928399999999997E-2</v>
      </c>
      <c r="N13" s="274">
        <f>ROUND(VLOOKUP($E13,'BDEW-Standard'!$B$3:$M$158,N$9,0),7)</f>
        <v>0.76729199999999997</v>
      </c>
      <c r="O13" s="274">
        <f>ROUND(VLOOKUP($E13,'BDEW-Standard'!$B$3:$M$158,O$9,0),7)</f>
        <v>-2.232E-3</v>
      </c>
      <c r="P13" s="274">
        <f>ROUND(VLOOKUP($E13,'BDEW-Standard'!$B$3:$M$158,P$9,0),7)</f>
        <v>0.11992070000000001</v>
      </c>
      <c r="Q13" s="339">
        <f t="shared" si="1"/>
        <v>0.99999997653191475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1" si="2">7-SUM(R13:W13)</f>
        <v>1</v>
      </c>
      <c r="Y13" s="293"/>
      <c r="Z13" s="211"/>
    </row>
    <row r="14" spans="2:26" s="143" customFormat="1">
      <c r="B14" s="144">
        <v>3</v>
      </c>
      <c r="C14" s="145">
        <f t="shared" si="0"/>
        <v>700303</v>
      </c>
      <c r="D14" s="62" t="s">
        <v>247</v>
      </c>
      <c r="E14" s="165" t="s">
        <v>669</v>
      </c>
      <c r="F14" s="297" t="str">
        <f>VLOOKUP($E14,'BDEW-Standard'!$B$3:$M$158,F$9,0)</f>
        <v>DH3</v>
      </c>
      <c r="H14" s="274">
        <f>ROUND(VLOOKUP($E14,'BDEW-Standard'!$B$3:$M$94,H$9,0),7)</f>
        <v>1.3010622999999999</v>
      </c>
      <c r="I14" s="274">
        <f>ROUND(VLOOKUP($E14,'BDEW-Standard'!$B$3:$M$94,I$9,0),7)</f>
        <v>-35.681614400000001</v>
      </c>
      <c r="J14" s="274">
        <f>ROUND(VLOOKUP($E14,'BDEW-Standard'!$B$3:$M$94,J$9,0),7)</f>
        <v>6.6857975999999999</v>
      </c>
      <c r="K14" s="274">
        <f>ROUND(VLOOKUP($E14,'BDEW-Standard'!$B$3:$M$94,K$9,0),7)</f>
        <v>0.14092669999999999</v>
      </c>
      <c r="L14" s="338">
        <f>ROUND(VLOOKUP($E14,'BDEW-Standard'!$B$3:$M$94,L$9,0),1)</f>
        <v>40</v>
      </c>
      <c r="M14" s="274">
        <f>ROUND(VLOOKUP($E14,'BDEW-Standard'!$B$3:$M$94,M$9,0),7)</f>
        <v>-4.7342799999999997E-2</v>
      </c>
      <c r="N14" s="274">
        <f>ROUND(VLOOKUP($E14,'BDEW-Standard'!$B$3:$M$94,N$9,0),7)</f>
        <v>0.81416909999999998</v>
      </c>
      <c r="O14" s="274">
        <f>ROUND(VLOOKUP($E14,'BDEW-Standard'!$B$3:$M$94,O$9,0),7)</f>
        <v>-1.0601E-3</v>
      </c>
      <c r="P14" s="274">
        <f>ROUND(VLOOKUP($E14,'BDEW-Standard'!$B$3:$M$94,P$9,0),7)</f>
        <v>0.13250919999999999</v>
      </c>
      <c r="Q14" s="339">
        <f t="shared" si="1"/>
        <v>1.000000069455792</v>
      </c>
      <c r="R14" s="275">
        <f>ROUND(VLOOKUP(MID($E14,4,3),'Wochentag F(WT)'!$B$7:$J$22,R$9,0),4)</f>
        <v>1.03</v>
      </c>
      <c r="S14" s="275">
        <f>ROUND(VLOOKUP(MID($E14,4,3),'Wochentag F(WT)'!$B$7:$J$22,S$9,0),4)</f>
        <v>1.03</v>
      </c>
      <c r="T14" s="275">
        <f>ROUND(VLOOKUP(MID($E14,4,3),'Wochentag F(WT)'!$B$7:$J$22,T$9,0),4)</f>
        <v>1.02</v>
      </c>
      <c r="U14" s="275">
        <f>ROUND(VLOOKUP(MID($E14,4,3),'Wochentag F(WT)'!$B$7:$J$22,U$9,0),4)</f>
        <v>1.03</v>
      </c>
      <c r="V14" s="275">
        <f>ROUND(VLOOKUP(MID($E14,4,3),'Wochentag F(WT)'!$B$7:$J$22,V$9,0),4)</f>
        <v>1.01</v>
      </c>
      <c r="W14" s="275">
        <f>ROUND(VLOOKUP(MID($E14,4,3),'Wochentag F(WT)'!$B$7:$J$22,W$9,0),4)</f>
        <v>0.93</v>
      </c>
      <c r="X14" s="276">
        <f t="shared" si="2"/>
        <v>0.95000000000000018</v>
      </c>
      <c r="Y14" s="293"/>
      <c r="Z14" s="211"/>
    </row>
    <row r="15" spans="2:26" s="143" customFormat="1">
      <c r="B15" s="144">
        <v>4</v>
      </c>
      <c r="C15" s="145">
        <f t="shared" si="0"/>
        <v>700303</v>
      </c>
      <c r="D15" s="62" t="s">
        <v>247</v>
      </c>
      <c r="E15" s="165" t="s">
        <v>670</v>
      </c>
      <c r="F15" s="297" t="str">
        <f>VLOOKUP($E15,'BDEW-Standard'!$B$3:$M$158,F$9,0)</f>
        <v>OK3</v>
      </c>
      <c r="H15" s="274">
        <f>ROUND(VLOOKUP($E15,'BDEW-Standard'!$B$3:$M$94,H$9,0),7)</f>
        <v>1.3554515</v>
      </c>
      <c r="I15" s="274">
        <f>ROUND(VLOOKUP($E15,'BDEW-Standard'!$B$3:$M$94,I$9,0),7)</f>
        <v>-35.141256300000002</v>
      </c>
      <c r="J15" s="274">
        <f>ROUND(VLOOKUP($E15,'BDEW-Standard'!$B$3:$M$94,J$9,0),7)</f>
        <v>7.1303394999999998</v>
      </c>
      <c r="K15" s="274">
        <f>ROUND(VLOOKUP($E15,'BDEW-Standard'!$B$3:$M$94,K$9,0),7)</f>
        <v>9.9061899999999994E-2</v>
      </c>
      <c r="L15" s="338">
        <f>ROUND(VLOOKUP($E15,'BDEW-Standard'!$B$3:$M$94,L$9,0),1)</f>
        <v>40</v>
      </c>
      <c r="M15" s="274">
        <f>ROUND(VLOOKUP($E15,'BDEW-Standard'!$B$3:$M$94,M$9,0),7)</f>
        <v>-5.26487E-2</v>
      </c>
      <c r="N15" s="274">
        <f>ROUND(VLOOKUP($E15,'BDEW-Standard'!$B$3:$M$94,N$9,0),7)</f>
        <v>0.86260859999999995</v>
      </c>
      <c r="O15" s="274">
        <f>ROUND(VLOOKUP($E15,'BDEW-Standard'!$B$3:$M$94,O$9,0),7)</f>
        <v>-8.8080000000000005E-4</v>
      </c>
      <c r="P15" s="274">
        <f>ROUND(VLOOKUP($E15,'BDEW-Standard'!$B$3:$M$94,P$9,0),7)</f>
        <v>9.6401399999999998E-2</v>
      </c>
      <c r="Q15" s="339">
        <f t="shared" si="1"/>
        <v>0.99999998782262245</v>
      </c>
      <c r="R15" s="275">
        <f>ROUND(VLOOKUP(MID($E15,4,3),'Wochentag F(WT)'!$B$7:$J$22,R$9,0),4)</f>
        <v>1.0354000000000001</v>
      </c>
      <c r="S15" s="275">
        <f>ROUND(VLOOKUP(MID($E15,4,3),'Wochentag F(WT)'!$B$7:$J$22,S$9,0),4)</f>
        <v>1.0523</v>
      </c>
      <c r="T15" s="275">
        <f>ROUND(VLOOKUP(MID($E15,4,3),'Wochentag F(WT)'!$B$7:$J$22,T$9,0),4)</f>
        <v>1.0448999999999999</v>
      </c>
      <c r="U15" s="275">
        <f>ROUND(VLOOKUP(MID($E15,4,3),'Wochentag F(WT)'!$B$7:$J$22,U$9,0),4)</f>
        <v>1.0494000000000001</v>
      </c>
      <c r="V15" s="275">
        <f>ROUND(VLOOKUP(MID($E15,4,3),'Wochentag F(WT)'!$B$7:$J$22,V$9,0),4)</f>
        <v>0.98850000000000005</v>
      </c>
      <c r="W15" s="275">
        <f>ROUND(VLOOKUP(MID($E15,4,3),'Wochentag F(WT)'!$B$7:$J$22,W$9,0),4)</f>
        <v>0.88600000000000001</v>
      </c>
      <c r="X15" s="276">
        <f t="shared" si="2"/>
        <v>0.94349999999999934</v>
      </c>
      <c r="Y15" s="293"/>
      <c r="Z15" s="211"/>
    </row>
    <row r="16" spans="2:26" s="143" customFormat="1">
      <c r="B16" s="144">
        <v>5</v>
      </c>
      <c r="C16" s="145">
        <f t="shared" si="0"/>
        <v>700303</v>
      </c>
      <c r="D16" s="62" t="s">
        <v>247</v>
      </c>
      <c r="E16" s="165" t="s">
        <v>671</v>
      </c>
      <c r="F16" s="297" t="str">
        <f>VLOOKUP($E16,'BDEW-Standard'!$B$3:$M$158,F$9,0)</f>
        <v>KM3</v>
      </c>
      <c r="H16" s="274">
        <f>ROUND(VLOOKUP($E16,'BDEW-Standard'!$B$3:$M$94,H$9,0),7)</f>
        <v>1.4202418999999999</v>
      </c>
      <c r="I16" s="274">
        <f>ROUND(VLOOKUP($E16,'BDEW-Standard'!$B$3:$M$94,I$9,0),7)</f>
        <v>-34.880612999999997</v>
      </c>
      <c r="J16" s="274">
        <f>ROUND(VLOOKUP($E16,'BDEW-Standard'!$B$3:$M$94,J$9,0),7)</f>
        <v>6.5951899000000003</v>
      </c>
      <c r="K16" s="274">
        <f>ROUND(VLOOKUP($E16,'BDEW-Standard'!$B$3:$M$94,K$9,0),7)</f>
        <v>3.8531700000000002E-2</v>
      </c>
      <c r="L16" s="338">
        <f>ROUND(VLOOKUP($E16,'BDEW-Standard'!$B$3:$M$94,L$9,0),1)</f>
        <v>40</v>
      </c>
      <c r="M16" s="274">
        <f>ROUND(VLOOKUP($E16,'BDEW-Standard'!$B$3:$M$94,M$9,0),7)</f>
        <v>-5.2108399999999999E-2</v>
      </c>
      <c r="N16" s="274">
        <f>ROUND(VLOOKUP($E16,'BDEW-Standard'!$B$3:$M$94,N$9,0),7)</f>
        <v>0.86479189999999995</v>
      </c>
      <c r="O16" s="274">
        <f>ROUND(VLOOKUP($E16,'BDEW-Standard'!$B$3:$M$94,O$9,0),7)</f>
        <v>-1.4369000000000001E-3</v>
      </c>
      <c r="P16" s="274">
        <f>ROUND(VLOOKUP($E16,'BDEW-Standard'!$B$3:$M$94,P$9,0),7)</f>
        <v>6.3760200000000003E-2</v>
      </c>
      <c r="Q16" s="339">
        <f t="shared" si="1"/>
        <v>1.0000002125085892</v>
      </c>
      <c r="R16" s="275">
        <f>ROUND(VLOOKUP(MID($E16,4,3),'Wochentag F(WT)'!$B$7:$J$22,R$9,0),4)</f>
        <v>1.0699000000000001</v>
      </c>
      <c r="S16" s="275">
        <f>ROUND(VLOOKUP(MID($E16,4,3),'Wochentag F(WT)'!$B$7:$J$22,S$9,0),4)</f>
        <v>1.0365</v>
      </c>
      <c r="T16" s="275">
        <f>ROUND(VLOOKUP(MID($E16,4,3),'Wochentag F(WT)'!$B$7:$J$22,T$9,0),4)</f>
        <v>0.99329999999999996</v>
      </c>
      <c r="U16" s="275">
        <f>ROUND(VLOOKUP(MID($E16,4,3),'Wochentag F(WT)'!$B$7:$J$22,U$9,0),4)</f>
        <v>0.99480000000000002</v>
      </c>
      <c r="V16" s="275">
        <f>ROUND(VLOOKUP(MID($E16,4,3),'Wochentag F(WT)'!$B$7:$J$22,V$9,0),4)</f>
        <v>1.0659000000000001</v>
      </c>
      <c r="W16" s="275">
        <f>ROUND(VLOOKUP(MID($E16,4,3),'Wochentag F(WT)'!$B$7:$J$22,W$9,0),4)</f>
        <v>0.93620000000000003</v>
      </c>
      <c r="X16" s="276">
        <f t="shared" si="2"/>
        <v>0.90339999999999954</v>
      </c>
      <c r="Y16" s="293"/>
      <c r="Z16" s="211"/>
    </row>
    <row r="17" spans="2:26" s="143" customFormat="1">
      <c r="B17" s="144">
        <v>6</v>
      </c>
      <c r="C17" s="145">
        <f t="shared" si="0"/>
        <v>700303</v>
      </c>
      <c r="D17" s="62" t="s">
        <v>247</v>
      </c>
      <c r="E17" s="165" t="s">
        <v>672</v>
      </c>
      <c r="F17" s="297" t="str">
        <f>VLOOKUP($E17,'BDEW-Standard'!$B$3:$M$158,F$9,0)</f>
        <v>HB3</v>
      </c>
      <c r="H17" s="274">
        <f>ROUND(VLOOKUP($E17,'BDEW-Standard'!$B$3:$M$94,H$9,0),7)</f>
        <v>0.98742830000000004</v>
      </c>
      <c r="I17" s="274">
        <f>ROUND(VLOOKUP($E17,'BDEW-Standard'!$B$3:$M$94,I$9,0),7)</f>
        <v>-35.253212400000002</v>
      </c>
      <c r="J17" s="274">
        <f>ROUND(VLOOKUP($E17,'BDEW-Standard'!$B$3:$M$94,J$9,0),7)</f>
        <v>6.1544406</v>
      </c>
      <c r="K17" s="274">
        <f>ROUND(VLOOKUP($E17,'BDEW-Standard'!$B$3:$M$94,K$9,0),7)</f>
        <v>0.22657160000000001</v>
      </c>
      <c r="L17" s="338">
        <f>ROUND(VLOOKUP($E17,'BDEW-Standard'!$B$3:$M$94,L$9,0),1)</f>
        <v>40</v>
      </c>
      <c r="M17" s="274">
        <f>ROUND(VLOOKUP($E17,'BDEW-Standard'!$B$3:$M$94,M$9,0),7)</f>
        <v>-3.3902000000000002E-2</v>
      </c>
      <c r="N17" s="274">
        <f>ROUND(VLOOKUP($E17,'BDEW-Standard'!$B$3:$M$94,N$9,0),7)</f>
        <v>0.69382339999999998</v>
      </c>
      <c r="O17" s="274">
        <f>ROUND(VLOOKUP($E17,'BDEW-Standard'!$B$3:$M$94,O$9,0),7)</f>
        <v>-1.2849000000000001E-3</v>
      </c>
      <c r="P17" s="274">
        <f>ROUND(VLOOKUP($E17,'BDEW-Standard'!$B$3:$M$94,P$9,0),7)</f>
        <v>0.20297319999999999</v>
      </c>
      <c r="Q17" s="339">
        <f t="shared" si="1"/>
        <v>0.99999983700977324</v>
      </c>
      <c r="R17" s="275">
        <f>ROUND(VLOOKUP(MID($E17,4,3),'Wochentag F(WT)'!$B$7:$J$22,R$9,0),4)</f>
        <v>0.97670000000000001</v>
      </c>
      <c r="S17" s="275">
        <f>ROUND(VLOOKUP(MID($E17,4,3),'Wochentag F(WT)'!$B$7:$J$22,S$9,0),4)</f>
        <v>1.0388999999999999</v>
      </c>
      <c r="T17" s="275">
        <f>ROUND(VLOOKUP(MID($E17,4,3),'Wochentag F(WT)'!$B$7:$J$22,T$9,0),4)</f>
        <v>1.0027999999999999</v>
      </c>
      <c r="U17" s="275">
        <f>ROUND(VLOOKUP(MID($E17,4,3),'Wochentag F(WT)'!$B$7:$J$22,U$9,0),4)</f>
        <v>1.0162</v>
      </c>
      <c r="V17" s="275">
        <f>ROUND(VLOOKUP(MID($E17,4,3),'Wochentag F(WT)'!$B$7:$J$22,V$9,0),4)</f>
        <v>1.0024</v>
      </c>
      <c r="W17" s="275">
        <f>ROUND(VLOOKUP(MID($E17,4,3),'Wochentag F(WT)'!$B$7:$J$22,W$9,0),4)</f>
        <v>1.0043</v>
      </c>
      <c r="X17" s="276">
        <f t="shared" si="2"/>
        <v>0.95870000000000122</v>
      </c>
      <c r="Y17" s="293"/>
      <c r="Z17" s="211"/>
    </row>
    <row r="18" spans="2:26" s="143" customFormat="1">
      <c r="B18" s="144">
        <v>7</v>
      </c>
      <c r="C18" s="145">
        <f t="shared" si="0"/>
        <v>700303</v>
      </c>
      <c r="D18" s="62" t="s">
        <v>247</v>
      </c>
      <c r="E18" s="165" t="s">
        <v>673</v>
      </c>
      <c r="F18" s="297" t="str">
        <f>VLOOKUP($E18,'BDEW-Standard'!$B$3:$M$158,F$9,0)</f>
        <v>AB3</v>
      </c>
      <c r="H18" s="274">
        <f>ROUND(VLOOKUP($E18,'BDEW-Standard'!$B$3:$M$94,H$9,0),7)</f>
        <v>0.2770087</v>
      </c>
      <c r="I18" s="274">
        <f>ROUND(VLOOKUP($E18,'BDEW-Standard'!$B$3:$M$94,I$9,0),7)</f>
        <v>-33</v>
      </c>
      <c r="J18" s="274">
        <f>ROUND(VLOOKUP($E18,'BDEW-Standard'!$B$3:$M$94,J$9,0),7)</f>
        <v>5.7212303000000002</v>
      </c>
      <c r="K18" s="274">
        <f>ROUND(VLOOKUP($E18,'BDEW-Standard'!$B$3:$M$94,K$9,0),7)</f>
        <v>0.48651179999999999</v>
      </c>
      <c r="L18" s="338">
        <f>ROUND(VLOOKUP($E18,'BDEW-Standard'!$B$3:$M$94,L$9,0),1)</f>
        <v>40</v>
      </c>
      <c r="M18" s="274">
        <f>ROUND(VLOOKUP($E18,'BDEW-Standard'!$B$3:$M$94,M$9,0),7)</f>
        <v>-9.4848999999999992E-3</v>
      </c>
      <c r="N18" s="274">
        <f>ROUND(VLOOKUP($E18,'BDEW-Standard'!$B$3:$M$94,N$9,0),7)</f>
        <v>0.46302369999999998</v>
      </c>
      <c r="O18" s="274">
        <f>ROUND(VLOOKUP($E18,'BDEW-Standard'!$B$3:$M$94,O$9,0),7)</f>
        <v>-7.1339999999999999E-4</v>
      </c>
      <c r="P18" s="274">
        <f>ROUND(VLOOKUP($E18,'BDEW-Standard'!$B$3:$M$94,P$9,0),7)</f>
        <v>0.3867447</v>
      </c>
      <c r="Q18" s="339">
        <f t="shared" si="1"/>
        <v>1.0000000764227039</v>
      </c>
      <c r="R18" s="275">
        <f>ROUND(VLOOKUP(MID($E18,4,3),'Wochentag F(WT)'!$B$7:$J$22,R$9,0),4)</f>
        <v>1.0848</v>
      </c>
      <c r="S18" s="275">
        <f>ROUND(VLOOKUP(MID($E18,4,3),'Wochentag F(WT)'!$B$7:$J$22,S$9,0),4)</f>
        <v>1.1211</v>
      </c>
      <c r="T18" s="275">
        <f>ROUND(VLOOKUP(MID($E18,4,3),'Wochentag F(WT)'!$B$7:$J$22,T$9,0),4)</f>
        <v>1.0769</v>
      </c>
      <c r="U18" s="275">
        <f>ROUND(VLOOKUP(MID($E18,4,3),'Wochentag F(WT)'!$B$7:$J$22,U$9,0),4)</f>
        <v>1.1353</v>
      </c>
      <c r="V18" s="275">
        <f>ROUND(VLOOKUP(MID($E18,4,3),'Wochentag F(WT)'!$B$7:$J$22,V$9,0),4)</f>
        <v>1.1402000000000001</v>
      </c>
      <c r="W18" s="275">
        <f>ROUND(VLOOKUP(MID($E18,4,3),'Wochentag F(WT)'!$B$7:$J$22,W$9,0),4)</f>
        <v>0.48520000000000002</v>
      </c>
      <c r="X18" s="276">
        <f t="shared" si="2"/>
        <v>0.95650000000000013</v>
      </c>
      <c r="Y18" s="293"/>
      <c r="Z18" s="211"/>
    </row>
    <row r="19" spans="2:26" s="143" customFormat="1">
      <c r="B19" s="144">
        <v>8</v>
      </c>
      <c r="C19" s="145">
        <f t="shared" si="0"/>
        <v>700303</v>
      </c>
      <c r="D19" s="62" t="s">
        <v>247</v>
      </c>
      <c r="E19" s="165" t="s">
        <v>674</v>
      </c>
      <c r="F19" s="297" t="str">
        <f>VLOOKUP($E19,'BDEW-Standard'!$B$3:$M$158,F$9,0)</f>
        <v>AG3</v>
      </c>
      <c r="H19" s="274">
        <f>ROUND(VLOOKUP($E19,'BDEW-Standard'!$B$3:$M$94,H$9,0),7)</f>
        <v>1.1582082</v>
      </c>
      <c r="I19" s="274">
        <f>ROUND(VLOOKUP($E19,'BDEW-Standard'!$B$3:$M$94,I$9,0),7)</f>
        <v>-36.287858399999998</v>
      </c>
      <c r="J19" s="274">
        <f>ROUND(VLOOKUP($E19,'BDEW-Standard'!$B$3:$M$94,J$9,0),7)</f>
        <v>6.5885125999999996</v>
      </c>
      <c r="K19" s="274">
        <f>ROUND(VLOOKUP($E19,'BDEW-Standard'!$B$3:$M$94,K$9,0),7)</f>
        <v>0.22356799999999999</v>
      </c>
      <c r="L19" s="338">
        <f>ROUND(VLOOKUP($E19,'BDEW-Standard'!$B$3:$M$94,L$9,0),1)</f>
        <v>40</v>
      </c>
      <c r="M19" s="274">
        <f>ROUND(VLOOKUP($E19,'BDEW-Standard'!$B$3:$M$94,M$9,0),7)</f>
        <v>-4.1033500000000001E-2</v>
      </c>
      <c r="N19" s="274">
        <f>ROUND(VLOOKUP($E19,'BDEW-Standard'!$B$3:$M$94,N$9,0),7)</f>
        <v>0.75264509999999996</v>
      </c>
      <c r="O19" s="274">
        <f>ROUND(VLOOKUP($E19,'BDEW-Standard'!$B$3:$M$94,O$9,0),7)</f>
        <v>-9.0879999999999997E-4</v>
      </c>
      <c r="P19" s="274">
        <f>ROUND(VLOOKUP($E19,'BDEW-Standard'!$B$3:$M$94,P$9,0),7)</f>
        <v>0.1916641</v>
      </c>
      <c r="Q19" s="339">
        <f t="shared" si="1"/>
        <v>0.99999977999083423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>
        <f t="shared" si="0"/>
        <v>700303</v>
      </c>
      <c r="D20" s="62" t="s">
        <v>247</v>
      </c>
      <c r="E20" s="165" t="s">
        <v>675</v>
      </c>
      <c r="F20" s="297" t="str">
        <f>VLOOKUP($E20,'BDEW-Standard'!$B$3:$M$158,F$9,0)</f>
        <v>FM3</v>
      </c>
      <c r="H20" s="274">
        <f>ROUND(VLOOKUP($E20,'BDEW-Standard'!$B$3:$M$94,H$9,0),7)</f>
        <v>1.2328654999999999</v>
      </c>
      <c r="I20" s="274">
        <f>ROUND(VLOOKUP($E20,'BDEW-Standard'!$B$3:$M$94,I$9,0),7)</f>
        <v>-34.721360500000003</v>
      </c>
      <c r="J20" s="274">
        <f>ROUND(VLOOKUP($E20,'BDEW-Standard'!$B$3:$M$94,J$9,0),7)</f>
        <v>5.8164303999999998</v>
      </c>
      <c r="K20" s="274">
        <f>ROUND(VLOOKUP($E20,'BDEW-Standard'!$B$3:$M$94,K$9,0),7)</f>
        <v>8.7335200000000002E-2</v>
      </c>
      <c r="L20" s="338">
        <f>ROUND(VLOOKUP($E20,'BDEW-Standard'!$B$3:$M$94,L$9,0),1)</f>
        <v>40</v>
      </c>
      <c r="M20" s="274">
        <f>ROUND(VLOOKUP($E20,'BDEW-Standard'!$B$3:$M$94,M$9,0),7)</f>
        <v>-4.0928399999999997E-2</v>
      </c>
      <c r="N20" s="274">
        <f>ROUND(VLOOKUP($E20,'BDEW-Standard'!$B$3:$M$94,N$9,0),7)</f>
        <v>0.76729199999999997</v>
      </c>
      <c r="O20" s="274">
        <f>ROUND(VLOOKUP($E20,'BDEW-Standard'!$B$3:$M$94,O$9,0),7)</f>
        <v>-2.232E-3</v>
      </c>
      <c r="P20" s="274">
        <f>ROUND(VLOOKUP($E20,'BDEW-Standard'!$B$3:$M$94,P$9,0),7)</f>
        <v>0.11992070000000001</v>
      </c>
      <c r="Q20" s="339">
        <f t="shared" si="1"/>
        <v>0.99999997653191475</v>
      </c>
      <c r="R20" s="275">
        <f>ROUND(VLOOKUP(MID($E20,4,3),'Wochentag F(WT)'!$B$7:$J$22,R$9,0),4)</f>
        <v>1.0354000000000001</v>
      </c>
      <c r="S20" s="275">
        <f>ROUND(VLOOKUP(MID($E20,4,3),'Wochentag F(WT)'!$B$7:$J$22,S$9,0),4)</f>
        <v>1.0523</v>
      </c>
      <c r="T20" s="275">
        <f>ROUND(VLOOKUP(MID($E20,4,3),'Wochentag F(WT)'!$B$7:$J$22,T$9,0),4)</f>
        <v>1.0448999999999999</v>
      </c>
      <c r="U20" s="275">
        <f>ROUND(VLOOKUP(MID($E20,4,3),'Wochentag F(WT)'!$B$7:$J$22,U$9,0),4)</f>
        <v>1.0494000000000001</v>
      </c>
      <c r="V20" s="275">
        <f>ROUND(VLOOKUP(MID($E20,4,3),'Wochentag F(WT)'!$B$7:$J$22,V$9,0),4)</f>
        <v>0.98850000000000005</v>
      </c>
      <c r="W20" s="275">
        <f>ROUND(VLOOKUP(MID($E20,4,3),'Wochentag F(WT)'!$B$7:$J$22,W$9,0),4)</f>
        <v>0.88600000000000001</v>
      </c>
      <c r="X20" s="276">
        <f t="shared" si="2"/>
        <v>0.94349999999999934</v>
      </c>
      <c r="Y20" s="293"/>
      <c r="Z20" s="211"/>
    </row>
    <row r="21" spans="2:26" s="143" customFormat="1">
      <c r="B21" s="144">
        <v>10</v>
      </c>
      <c r="C21" s="145">
        <f t="shared" si="0"/>
        <v>700303</v>
      </c>
      <c r="D21" s="62" t="s">
        <v>247</v>
      </c>
      <c r="E21" s="165" t="s">
        <v>4</v>
      </c>
      <c r="F21" s="297" t="str">
        <f>VLOOKUP($E21,'BDEW-Standard'!$B$3:$M$158,F$9,0)</f>
        <v>HK3</v>
      </c>
      <c r="H21" s="274">
        <f>ROUND(VLOOKUP($E21,'BDEW-Standard'!$B$3:$M$94,H$9,0),7)</f>
        <v>0.40409319999999999</v>
      </c>
      <c r="I21" s="274">
        <f>ROUND(VLOOKUP($E21,'BDEW-Standard'!$B$3:$M$94,I$9,0),7)</f>
        <v>-24.439296800000001</v>
      </c>
      <c r="J21" s="274">
        <f>ROUND(VLOOKUP($E21,'BDEW-Standard'!$B$3:$M$94,J$9,0),7)</f>
        <v>6.5718174999999999</v>
      </c>
      <c r="K21" s="274">
        <f>ROUND(VLOOKUP($E21,'BDEW-Standard'!$B$3:$M$94,K$9,0),7)</f>
        <v>0.71077100000000004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1.0561214000512988</v>
      </c>
      <c r="R21" s="275">
        <f>ROUND(VLOOKUP(MID($E21,4,3),'Wochentag F(WT)'!$B$7:$J$22,R$9,0),4)</f>
        <v>1</v>
      </c>
      <c r="S21" s="275">
        <f>ROUND(VLOOKUP(MID($E21,4,3),'Wochentag F(WT)'!$B$7:$J$22,S$9,0),4)</f>
        <v>1</v>
      </c>
      <c r="T21" s="275">
        <f>ROUND(VLOOKUP(MID($E21,4,3),'Wochentag F(WT)'!$B$7:$J$22,T$9,0),4)</f>
        <v>1</v>
      </c>
      <c r="U21" s="275">
        <f>ROUND(VLOOKUP(MID($E21,4,3),'Wochentag F(WT)'!$B$7:$J$22,U$9,0),4)</f>
        <v>1</v>
      </c>
      <c r="V21" s="275">
        <f>ROUND(VLOOKUP(MID($E21,4,3),'Wochentag F(WT)'!$B$7:$J$22,V$9,0),4)</f>
        <v>1</v>
      </c>
      <c r="W21" s="275">
        <f>ROUND(VLOOKUP(MID($E21,4,3),'Wochentag F(WT)'!$B$7:$J$22,W$9,0),4)</f>
        <v>1</v>
      </c>
      <c r="X21" s="276">
        <f t="shared" si="2"/>
        <v>1</v>
      </c>
      <c r="Y21" s="293"/>
      <c r="Z21" s="211"/>
    </row>
    <row r="22" spans="2:26" s="143" customFormat="1">
      <c r="B22" s="144">
        <v>11</v>
      </c>
      <c r="C22" s="145">
        <f t="shared" si="0"/>
        <v>700303</v>
      </c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>
        <f t="shared" si="0"/>
        <v>700303</v>
      </c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>
        <f t="shared" si="0"/>
        <v>700303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>
        <f t="shared" si="0"/>
        <v>700303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>
        <f t="shared" si="0"/>
        <v>700303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>
        <f t="shared" si="0"/>
        <v>700303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>
        <f t="shared" si="0"/>
        <v>700303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>
        <f t="shared" si="0"/>
        <v>700303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>
        <f t="shared" si="0"/>
        <v>700303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>
        <f t="shared" si="0"/>
        <v>700303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>
        <f t="shared" si="0"/>
        <v>700303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>
        <f t="shared" si="0"/>
        <v>700303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>
        <f t="shared" si="0"/>
        <v>700303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>
        <f t="shared" si="0"/>
        <v>700303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>
        <f t="shared" si="0"/>
        <v>700303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>
        <f t="shared" si="0"/>
        <v>700303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>
        <f t="shared" si="0"/>
        <v>700303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>
        <f t="shared" si="0"/>
        <v>700303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>
        <f t="shared" si="0"/>
        <v>700303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>
        <f t="shared" si="0"/>
        <v>700303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4:K21 C13:C33 C34:C41 M14:X21 Q12:X12 Q13:X13" unlockedFormula="1"/>
    <ignoredError sqref="L14:L21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H15" sqref="H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Vereinigte Stadtwerke Netz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>
        <f>Netzbetreiber!$D$28</f>
        <v>700303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9870030300006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/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/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/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/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/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/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/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/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/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/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/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06" zoomScale="80" zoomScaleNormal="80" workbookViewId="0">
      <selection activeCell="B141" sqref="B141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Klahr, Simon - Vereinigte Stadtwerke Netz GmbH</cp:lastModifiedBy>
  <cp:lastPrinted>2015-03-20T22:59:10Z</cp:lastPrinted>
  <dcterms:created xsi:type="dcterms:W3CDTF">2015-01-15T05:25:41Z</dcterms:created>
  <dcterms:modified xsi:type="dcterms:W3CDTF">2016-11-18T09:49:09Z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SLP_Gas_Verfahrensspezifische_Parameter_Vereinigte SW Netz@01.10.2016.xlsx</vt:lpwstr>
  </property>
</Properties>
</file>